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D:\SUMO\SUMO_SourceCode\MODEL\trunk\Sumo\Process code\Tools\"/>
    </mc:Choice>
  </mc:AlternateContent>
  <xr:revisionPtr revIDLastSave="0" documentId="13_ncr:1_{EE88C4CD-4145-4C70-988F-B3113CE270E7}" xr6:coauthVersionLast="47" xr6:coauthVersionMax="47" xr10:uidLastSave="{00000000-0000-0000-0000-000000000000}"/>
  <bookViews>
    <workbookView xWindow="-30" yWindow="45" windowWidth="23040" windowHeight="15570" tabRatio="702" xr2:uid="{00000000-000D-0000-FFFF-FFFF00000000}"/>
  </bookViews>
  <sheets>
    <sheet name="Help" sheetId="11" r:id="rId1"/>
    <sheet name="Data" sheetId="9" r:id="rId2"/>
    <sheet name="Check fractions" sheetId="4" r:id="rId3"/>
    <sheet name="Sumo forms" sheetId="12" r:id="rId4"/>
    <sheet name="Fractionation tree" sheetId="13" r:id="rId5"/>
    <sheet name="Balances" sheetId="6" r:id="rId6"/>
    <sheet name="Diurnal flow" sheetId="8" r:id="rId7"/>
    <sheet name="Calculations" sheetId="10" r:id="rId8"/>
  </sheets>
  <definedNames>
    <definedName name="A_SFHAO_H">Balances!$K$17</definedName>
    <definedName name="A_SFHAO_L">Balances!$K$18</definedName>
    <definedName name="A_SFHFO_H">Balances!$K$14</definedName>
    <definedName name="A_SFHFO_L">Balances!$K$15</definedName>
    <definedName name="AM_Al">Balances!$K$22</definedName>
    <definedName name="AM_Fe">Balances!$K$22</definedName>
    <definedName name="AM_P">Balances!$K$24</definedName>
    <definedName name="f_H2O_HAO_TSS">Balances!$K$19</definedName>
    <definedName name="f_H2O_HFO_TSS">Balances!$K$16</definedName>
    <definedName name="i_TSS_PP">Balances!$K$20</definedName>
    <definedName name="MM_HAO">Balances!$K$26</definedName>
    <definedName name="MM_HFO">Balances!$K$25</definedName>
    <definedName name="MM_PO4">Balances!$K$27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6" l="1"/>
  <c r="G20" i="6" l="1"/>
  <c r="C33" i="6"/>
  <c r="G19" i="6"/>
  <c r="C32" i="6"/>
  <c r="C34" i="6"/>
  <c r="C35" i="6"/>
  <c r="K20" i="6"/>
  <c r="R35" i="13" l="1"/>
  <c r="T29" i="13"/>
  <c r="B41" i="13" l="1"/>
  <c r="K35" i="13"/>
  <c r="H29" i="13"/>
  <c r="N15" i="13" l="1"/>
  <c r="N16" i="13" s="1"/>
  <c r="K10" i="13"/>
  <c r="R37" i="13"/>
  <c r="W35" i="13" l="1"/>
  <c r="K37" i="13"/>
  <c r="E35" i="13"/>
  <c r="K36" i="13"/>
  <c r="R36" i="13"/>
  <c r="B43" i="13"/>
  <c r="B42" i="13" l="1"/>
  <c r="H41" i="13"/>
  <c r="W36" i="13"/>
  <c r="W37" i="13"/>
  <c r="E37" i="13"/>
  <c r="E36" i="13"/>
  <c r="H42" i="13" l="1"/>
  <c r="H43" i="13"/>
  <c r="D25" i="12" l="1"/>
  <c r="D27" i="12"/>
  <c r="L8" i="12" l="1"/>
  <c r="L7" i="12"/>
  <c r="L6" i="12"/>
  <c r="D26" i="12" l="1"/>
  <c r="D22" i="12"/>
  <c r="G18" i="6" l="1"/>
  <c r="S49" i="13" s="1"/>
  <c r="C20" i="6"/>
  <c r="C21" i="6"/>
  <c r="C19" i="6"/>
  <c r="D60" i="12"/>
  <c r="D59" i="12"/>
  <c r="S51" i="13" l="1"/>
  <c r="G16" i="6" l="1"/>
  <c r="C28" i="6"/>
  <c r="C26" i="6"/>
  <c r="C25" i="6"/>
  <c r="C24" i="6"/>
  <c r="C18" i="6"/>
  <c r="C22" i="6"/>
  <c r="C23" i="6"/>
  <c r="C17" i="6"/>
  <c r="L16" i="12"/>
  <c r="L15" i="12"/>
  <c r="L14" i="12"/>
  <c r="L13" i="12"/>
  <c r="L9" i="12"/>
  <c r="F21" i="13" l="1"/>
  <c r="D24" i="6"/>
  <c r="D25" i="6"/>
  <c r="D23" i="6"/>
  <c r="D26" i="6"/>
  <c r="D22" i="6"/>
  <c r="AB18" i="13" l="1"/>
  <c r="G17" i="9"/>
  <c r="G16" i="9"/>
  <c r="G19" i="9"/>
  <c r="G5" i="9"/>
  <c r="G22" i="9"/>
  <c r="G15" i="9" l="1"/>
  <c r="D5" i="4" l="1"/>
  <c r="D23" i="12"/>
  <c r="D34" i="12"/>
  <c r="D33" i="12"/>
  <c r="D32" i="12"/>
  <c r="D31" i="12"/>
  <c r="D29" i="12"/>
  <c r="G4" i="9"/>
  <c r="G24" i="9"/>
  <c r="D30" i="12" s="1"/>
  <c r="G23" i="9"/>
  <c r="D20" i="12"/>
  <c r="D19" i="12"/>
  <c r="G27" i="6"/>
  <c r="H20" i="6" s="1"/>
  <c r="G12" i="6"/>
  <c r="G3" i="6"/>
  <c r="D28" i="12"/>
  <c r="D24" i="12"/>
  <c r="D40" i="12"/>
  <c r="D41" i="12"/>
  <c r="D42" i="12"/>
  <c r="D39" i="12"/>
  <c r="G6" i="9"/>
  <c r="G26" i="9" s="1"/>
  <c r="D38" i="12"/>
  <c r="C3" i="8"/>
  <c r="D3" i="8" s="1"/>
  <c r="C16" i="6"/>
  <c r="G14" i="9"/>
  <c r="C10" i="13" s="1"/>
  <c r="F22" i="13" s="1"/>
  <c r="D13" i="12"/>
  <c r="G8" i="4"/>
  <c r="G7" i="4"/>
  <c r="G6" i="4"/>
  <c r="G5" i="4"/>
  <c r="G4" i="4"/>
  <c r="G3" i="4"/>
  <c r="D14" i="12"/>
  <c r="D9" i="12"/>
  <c r="D8" i="12"/>
  <c r="D7" i="12"/>
  <c r="H5" i="13" s="1"/>
  <c r="D6" i="12"/>
  <c r="G18" i="9"/>
  <c r="G10" i="9"/>
  <c r="G25" i="4"/>
  <c r="D33" i="8"/>
  <c r="C33" i="8"/>
  <c r="D32" i="8"/>
  <c r="C32" i="8"/>
  <c r="D31" i="8"/>
  <c r="C31" i="8"/>
  <c r="D30" i="8"/>
  <c r="C30" i="8"/>
  <c r="D29" i="8"/>
  <c r="C29" i="8"/>
  <c r="D28" i="8"/>
  <c r="C28" i="8"/>
  <c r="D27" i="8"/>
  <c r="C27" i="8"/>
  <c r="D26" i="8"/>
  <c r="C26" i="8"/>
  <c r="D25" i="8"/>
  <c r="C25" i="8"/>
  <c r="D24" i="8"/>
  <c r="C24" i="8"/>
  <c r="D23" i="8"/>
  <c r="C23" i="8"/>
  <c r="D22" i="8"/>
  <c r="C22" i="8"/>
  <c r="D21" i="8"/>
  <c r="C21" i="8"/>
  <c r="D20" i="8"/>
  <c r="C20" i="8"/>
  <c r="D19" i="8"/>
  <c r="C19" i="8"/>
  <c r="D18" i="8"/>
  <c r="C18" i="8"/>
  <c r="D17" i="8"/>
  <c r="C17" i="8"/>
  <c r="D16" i="8"/>
  <c r="C16" i="8"/>
  <c r="D15" i="8"/>
  <c r="C15" i="8"/>
  <c r="D14" i="8"/>
  <c r="C14" i="8"/>
  <c r="D13" i="8"/>
  <c r="C13" i="8"/>
  <c r="D12" i="8"/>
  <c r="C12" i="8"/>
  <c r="D11" i="8"/>
  <c r="C11" i="8"/>
  <c r="D10" i="8"/>
  <c r="D6" i="8" s="1"/>
  <c r="C10" i="8"/>
  <c r="D3" i="4"/>
  <c r="B6" i="8"/>
  <c r="J24" i="8" l="1"/>
  <c r="J32" i="8"/>
  <c r="J12" i="8"/>
  <c r="J28" i="8"/>
  <c r="J13" i="8"/>
  <c r="J17" i="8"/>
  <c r="J21" i="8"/>
  <c r="J25" i="8"/>
  <c r="J29" i="8"/>
  <c r="J16" i="8"/>
  <c r="J33" i="8"/>
  <c r="J10" i="8"/>
  <c r="J14" i="8"/>
  <c r="J18" i="8"/>
  <c r="J22" i="8"/>
  <c r="J26" i="8"/>
  <c r="J30" i="8"/>
  <c r="J20" i="8"/>
  <c r="J15" i="8"/>
  <c r="J19" i="8"/>
  <c r="J23" i="8"/>
  <c r="J27" i="8"/>
  <c r="J31" i="8"/>
  <c r="B3" i="8"/>
  <c r="G30" i="8" s="1"/>
  <c r="K12" i="13"/>
  <c r="K11" i="13"/>
  <c r="N17" i="13"/>
  <c r="C12" i="13"/>
  <c r="C11" i="13"/>
  <c r="F23" i="13"/>
  <c r="C6" i="8"/>
  <c r="H4" i="4"/>
  <c r="C12" i="6"/>
  <c r="C11" i="6"/>
  <c r="C10" i="6"/>
  <c r="M26" i="8"/>
  <c r="M25" i="8"/>
  <c r="M33" i="8"/>
  <c r="M29" i="8"/>
  <c r="M18" i="8"/>
  <c r="M21" i="8"/>
  <c r="H3" i="6"/>
  <c r="M12" i="8"/>
  <c r="M28" i="8"/>
  <c r="M13" i="8"/>
  <c r="M17" i="8"/>
  <c r="M23" i="8"/>
  <c r="M11" i="8"/>
  <c r="H18" i="6"/>
  <c r="H19" i="6"/>
  <c r="M32" i="8"/>
  <c r="J11" i="8"/>
  <c r="D18" i="12"/>
  <c r="H16" i="6"/>
  <c r="M31" i="8"/>
  <c r="D17" i="6"/>
  <c r="G31" i="8"/>
  <c r="D18" i="6"/>
  <c r="D16" i="6"/>
  <c r="M10" i="8"/>
  <c r="M15" i="8"/>
  <c r="M20" i="8"/>
  <c r="M22" i="8"/>
  <c r="M14" i="8"/>
  <c r="M19" i="8"/>
  <c r="M27" i="8"/>
  <c r="M30" i="8"/>
  <c r="M16" i="8"/>
  <c r="M24" i="8"/>
  <c r="H3" i="4"/>
  <c r="I3" i="4" s="1"/>
  <c r="D6" i="4"/>
  <c r="D21" i="12"/>
  <c r="D4" i="4"/>
  <c r="H5" i="4" s="1"/>
  <c r="I5" i="4" s="1"/>
  <c r="G26" i="8" l="1"/>
  <c r="J6" i="8"/>
  <c r="G24" i="8"/>
  <c r="G25" i="8"/>
  <c r="G18" i="8"/>
  <c r="G14" i="8"/>
  <c r="G27" i="8"/>
  <c r="G10" i="8"/>
  <c r="G6" i="8" s="1"/>
  <c r="G23" i="8"/>
  <c r="G11" i="8"/>
  <c r="G28" i="8"/>
  <c r="G17" i="8"/>
  <c r="G13" i="8"/>
  <c r="G21" i="8"/>
  <c r="G33" i="8"/>
  <c r="G29" i="8"/>
  <c r="G15" i="8"/>
  <c r="G22" i="8"/>
  <c r="G16" i="8"/>
  <c r="G12" i="8"/>
  <c r="G32" i="8"/>
  <c r="G20" i="8"/>
  <c r="G19" i="8"/>
  <c r="G10" i="6"/>
  <c r="E55" i="13" s="1"/>
  <c r="E57" i="13" s="1"/>
  <c r="C21" i="13"/>
  <c r="D21" i="13"/>
  <c r="C13" i="6"/>
  <c r="C7" i="6" s="1"/>
  <c r="G4" i="6"/>
  <c r="B55" i="13" s="1"/>
  <c r="D11" i="6"/>
  <c r="C3" i="6"/>
  <c r="M21" i="13" s="1"/>
  <c r="I4" i="4"/>
  <c r="H13" i="4"/>
  <c r="D12" i="6"/>
  <c r="H14" i="4"/>
  <c r="C8" i="6"/>
  <c r="C6" i="6"/>
  <c r="I21" i="13" s="1"/>
  <c r="M6" i="8"/>
  <c r="D10" i="6"/>
  <c r="G25" i="6"/>
  <c r="C9" i="6"/>
  <c r="J21" i="13" s="1"/>
  <c r="H10" i="6" l="1"/>
  <c r="E56" i="13"/>
  <c r="G23" i="6"/>
  <c r="H23" i="6" s="1"/>
  <c r="O21" i="13"/>
  <c r="E21" i="13"/>
  <c r="G5" i="6"/>
  <c r="J23" i="13"/>
  <c r="Z18" i="13"/>
  <c r="D22" i="13"/>
  <c r="D23" i="13"/>
  <c r="M22" i="13"/>
  <c r="M23" i="13"/>
  <c r="Y18" i="13"/>
  <c r="C22" i="13"/>
  <c r="C23" i="13"/>
  <c r="J15" i="13"/>
  <c r="I22" i="13" s="1"/>
  <c r="I23" i="13"/>
  <c r="B57" i="13"/>
  <c r="B56" i="13"/>
  <c r="H25" i="6"/>
  <c r="U49" i="13"/>
  <c r="U51" i="13" s="1"/>
  <c r="H8" i="4"/>
  <c r="B21" i="13"/>
  <c r="R49" i="13"/>
  <c r="R51" i="13" s="1"/>
  <c r="D13" i="6"/>
  <c r="H4" i="6"/>
  <c r="D3" i="6"/>
  <c r="C4" i="6"/>
  <c r="C5" i="6"/>
  <c r="D8" i="6"/>
  <c r="G8" i="6"/>
  <c r="G22" i="6"/>
  <c r="G7" i="6"/>
  <c r="D6" i="6"/>
  <c r="D9" i="6"/>
  <c r="G24" i="6"/>
  <c r="G9" i="6"/>
  <c r="Y11" i="13" l="1"/>
  <c r="Y19" i="13" s="1"/>
  <c r="C36" i="6"/>
  <c r="AC49" i="13"/>
  <c r="AC51" i="13" s="1"/>
  <c r="C55" i="13"/>
  <c r="H5" i="6"/>
  <c r="J16" i="13"/>
  <c r="J17" i="13"/>
  <c r="AA18" i="13"/>
  <c r="E22" i="13"/>
  <c r="E23" i="13"/>
  <c r="O22" i="13"/>
  <c r="O23" i="13"/>
  <c r="J22" i="13"/>
  <c r="N21" i="13"/>
  <c r="H9" i="6"/>
  <c r="I55" i="13"/>
  <c r="H24" i="6"/>
  <c r="Y49" i="13"/>
  <c r="Y51" i="13" s="1"/>
  <c r="H22" i="6"/>
  <c r="X49" i="13"/>
  <c r="H8" i="6"/>
  <c r="M55" i="13"/>
  <c r="H7" i="6"/>
  <c r="H55" i="13"/>
  <c r="H17" i="6"/>
  <c r="H7" i="4"/>
  <c r="I8" i="4"/>
  <c r="X18" i="13"/>
  <c r="B22" i="13"/>
  <c r="B23" i="13"/>
  <c r="D5" i="6"/>
  <c r="H12" i="4"/>
  <c r="H11" i="4"/>
  <c r="F3" i="10"/>
  <c r="G21" i="6"/>
  <c r="G6" i="6"/>
  <c r="H25" i="4"/>
  <c r="I25" i="4" s="1"/>
  <c r="D7" i="6"/>
  <c r="G17" i="4"/>
  <c r="D4" i="6"/>
  <c r="AB19" i="13" l="1"/>
  <c r="Z19" i="13"/>
  <c r="AA19" i="13"/>
  <c r="I7" i="4"/>
  <c r="C37" i="6"/>
  <c r="C57" i="13"/>
  <c r="C56" i="13"/>
  <c r="I57" i="13"/>
  <c r="I56" i="13"/>
  <c r="N22" i="13"/>
  <c r="N23" i="13"/>
  <c r="Z41" i="13"/>
  <c r="X50" i="13" s="1"/>
  <c r="X51" i="13"/>
  <c r="J47" i="13"/>
  <c r="H57" i="13"/>
  <c r="H56" i="13"/>
  <c r="M57" i="13"/>
  <c r="M56" i="13"/>
  <c r="V5" i="13"/>
  <c r="Y12" i="13" s="1"/>
  <c r="Y13" i="13" s="1"/>
  <c r="H6" i="6"/>
  <c r="L55" i="13"/>
  <c r="H21" i="6"/>
  <c r="AB49" i="13"/>
  <c r="X19" i="13"/>
  <c r="E3" i="10"/>
  <c r="F4" i="10"/>
  <c r="F5" i="10" s="1"/>
  <c r="D28" i="6"/>
  <c r="G11" i="6"/>
  <c r="G26" i="6"/>
  <c r="C31" i="6" l="1"/>
  <c r="D34" i="6"/>
  <c r="D35" i="6"/>
  <c r="D32" i="6"/>
  <c r="D33" i="6"/>
  <c r="D36" i="6"/>
  <c r="T11" i="13"/>
  <c r="T12" i="13" s="1"/>
  <c r="T13" i="13" s="1"/>
  <c r="Y20" i="13"/>
  <c r="AB20" i="13"/>
  <c r="Z20" i="13"/>
  <c r="AA20" i="13"/>
  <c r="X20" i="13"/>
  <c r="Y50" i="13"/>
  <c r="Z43" i="13"/>
  <c r="Z42" i="13"/>
  <c r="J49" i="13"/>
  <c r="J48" i="13"/>
  <c r="AC41" i="13"/>
  <c r="AB50" i="13" s="1"/>
  <c r="AB51" i="13"/>
  <c r="G18" i="4"/>
  <c r="D55" i="13"/>
  <c r="L57" i="13"/>
  <c r="M47" i="13"/>
  <c r="L56" i="13"/>
  <c r="H26" i="6"/>
  <c r="H27" i="6" s="1"/>
  <c r="T49" i="13"/>
  <c r="D3" i="10"/>
  <c r="D4" i="10" s="1"/>
  <c r="E4" i="10"/>
  <c r="E5" i="10" s="1"/>
  <c r="H11" i="6"/>
  <c r="H12" i="6" s="1"/>
  <c r="G19" i="4"/>
  <c r="D31" i="6" l="1"/>
  <c r="D37" i="6" s="1"/>
  <c r="G20" i="4"/>
  <c r="M49" i="13"/>
  <c r="M48" i="13"/>
  <c r="D57" i="13"/>
  <c r="D56" i="13"/>
  <c r="F47" i="13"/>
  <c r="AC50" i="13"/>
  <c r="AC42" i="13"/>
  <c r="AC43" i="13"/>
  <c r="T51" i="13"/>
  <c r="V41" i="13"/>
  <c r="D5" i="10"/>
  <c r="H6" i="4" s="1"/>
  <c r="I6" i="4" s="1"/>
  <c r="F49" i="13" l="1"/>
  <c r="F48" i="13"/>
  <c r="R50" i="13"/>
  <c r="U50" i="13"/>
  <c r="V42" i="13"/>
  <c r="V43" i="13"/>
  <c r="S50" i="13"/>
  <c r="T50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Imre Takacs</author>
  </authors>
  <commentList>
    <comment ref="B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Enter measured data or estimate missing data</t>
        </r>
      </text>
    </comment>
    <comment ref="B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85 - 90% of TSS</t>
        </r>
      </text>
    </comment>
    <comment ref="B1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If COD is not available, use 
2.2*cBOD5 in US
2.5*cBOD5 in Europe</t>
        </r>
      </text>
    </comment>
    <comment ref="B15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Usually 40% of COD</t>
        </r>
      </text>
    </comment>
    <comment ref="B1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Usually 60% of filtered COD</t>
        </r>
      </text>
    </comment>
    <comment ref="B17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From processes where SRT&gt;3days</t>
        </r>
      </text>
    </comment>
    <comment ref="B18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If ATU or TCMP was used to inhibit nitrification, the actual cBOD may be 15-20% higher than measured.</t>
        </r>
      </text>
    </comment>
    <comment ref="B22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Imre Takacs:</t>
        </r>
        <r>
          <rPr>
            <sz val="9"/>
            <color indexed="81"/>
            <rFont val="Tahoma"/>
            <family val="2"/>
          </rPr>
          <t xml:space="preserve">
Important for bio-P plants</t>
        </r>
      </text>
    </comment>
    <comment ref="B25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Usually negligible</t>
        </r>
      </text>
    </comment>
    <comment ref="B2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Usually negligible</t>
        </r>
      </text>
    </comment>
    <comment ref="B2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required for biomass growth</t>
        </r>
      </text>
    </comment>
    <comment ref="B28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required for biomass growth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Imre Takacs</author>
  </authors>
  <commentList>
    <comment ref="A6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must be 1.0000</t>
        </r>
      </text>
    </comment>
  </commentList>
</comments>
</file>

<file path=xl/sharedStrings.xml><?xml version="1.0" encoding="utf-8"?>
<sst xmlns="http://schemas.openxmlformats.org/spreadsheetml/2006/main" count="916" uniqueCount="493">
  <si>
    <t>Name</t>
  </si>
  <si>
    <t>Unit</t>
  </si>
  <si>
    <t>VFAs</t>
  </si>
  <si>
    <t>Readily biodegradable substrate (non-VFA)</t>
  </si>
  <si>
    <t>Methanol</t>
  </si>
  <si>
    <t>Colloidal biodegradable substrate</t>
  </si>
  <si>
    <t>Slowly biodegradable substrate</t>
  </si>
  <si>
    <t>Soluble unbiodegradable organics</t>
  </si>
  <si>
    <t>Colloidal unbiodegradable organics</t>
  </si>
  <si>
    <t>Particulate unbiodegradable organics</t>
  </si>
  <si>
    <t>Stored PHA</t>
  </si>
  <si>
    <t>Magnesium</t>
  </si>
  <si>
    <t>Influent components</t>
  </si>
  <si>
    <t>Default</t>
  </si>
  <si>
    <t>Q</t>
  </si>
  <si>
    <t>Flow rate</t>
  </si>
  <si>
    <t>Total COD</t>
  </si>
  <si>
    <t>TKN</t>
  </si>
  <si>
    <t>Total phosphorus</t>
  </si>
  <si>
    <t>Alkalinity</t>
  </si>
  <si>
    <t>pH</t>
  </si>
  <si>
    <t>-</t>
  </si>
  <si>
    <t>Influent fractions</t>
  </si>
  <si>
    <t>VFA fraction of filtered COD</t>
  </si>
  <si>
    <t>Hourly diurnal flow data generator</t>
  </si>
  <si>
    <t>HELP</t>
  </si>
  <si>
    <t>Average Q m3/d</t>
  </si>
  <si>
    <t>Influent flow for:</t>
  </si>
  <si>
    <t>Damping factor</t>
  </si>
  <si>
    <t xml:space="preserve">     small plant</t>
  </si>
  <si>
    <t xml:space="preserve">     medium plant</t>
  </si>
  <si>
    <t xml:space="preserve">     large plant</t>
  </si>
  <si>
    <t>Modify damping factor if needed (higher damping = bigger plant, less variation)</t>
  </si>
  <si>
    <t>Average check</t>
  </si>
  <si>
    <t>time</t>
  </si>
  <si>
    <t>small</t>
  </si>
  <si>
    <t>medium</t>
  </si>
  <si>
    <t>large</t>
  </si>
  <si>
    <t>Flow</t>
  </si>
  <si>
    <t>Value</t>
  </si>
  <si>
    <t>COD</t>
  </si>
  <si>
    <t>TP</t>
  </si>
  <si>
    <t>TSS</t>
  </si>
  <si>
    <t>VSS</t>
  </si>
  <si>
    <t>mgP/L</t>
  </si>
  <si>
    <t>mg/L</t>
  </si>
  <si>
    <t>Key measurements</t>
  </si>
  <si>
    <t>VFA</t>
  </si>
  <si>
    <t>Ammonia</t>
  </si>
  <si>
    <t>Phosphate</t>
  </si>
  <si>
    <t>COD - BOD</t>
  </si>
  <si>
    <t>meq/L</t>
  </si>
  <si>
    <t>Filtered COD fraction</t>
  </si>
  <si>
    <t>Other influent measurements</t>
  </si>
  <si>
    <t>Influent filtered flocculated COD</t>
  </si>
  <si>
    <t>Influent filtered COD</t>
  </si>
  <si>
    <t>Influent COD</t>
  </si>
  <si>
    <r>
      <rPr>
        <b/>
        <i/>
        <sz val="11"/>
        <rFont val="Calibri"/>
        <family val="2"/>
        <scheme val="minor"/>
      </rPr>
      <t xml:space="preserve">Effluent </t>
    </r>
    <r>
      <rPr>
        <sz val="11"/>
        <rFont val="Calibri"/>
        <family val="2"/>
        <scheme val="minor"/>
      </rPr>
      <t>filtered COD (inert)</t>
    </r>
  </si>
  <si>
    <t>COD/BOD ratio</t>
  </si>
  <si>
    <t>Total Sulfur</t>
  </si>
  <si>
    <t>mgS/L</t>
  </si>
  <si>
    <t>Data</t>
  </si>
  <si>
    <t>Tabs</t>
  </si>
  <si>
    <t>Use</t>
  </si>
  <si>
    <t>Create diurnal influent</t>
  </si>
  <si>
    <t>Balances</t>
  </si>
  <si>
    <t>Blue</t>
  </si>
  <si>
    <t>Green</t>
  </si>
  <si>
    <t>Input data</t>
  </si>
  <si>
    <t>US Unit</t>
  </si>
  <si>
    <t>SI unit</t>
  </si>
  <si>
    <t>mg COD/L</t>
  </si>
  <si>
    <t>MGD</t>
  </si>
  <si>
    <t>Calculated from estimated fractions</t>
  </si>
  <si>
    <t>Measured data</t>
  </si>
  <si>
    <t>Filtered flocculated COD fraction</t>
  </si>
  <si>
    <t>Calculated influent filtered COD</t>
  </si>
  <si>
    <t>Calculated Influent filtered flocculated COD</t>
  </si>
  <si>
    <t>Calculated influent BOD5</t>
  </si>
  <si>
    <t>Alkalinity in molar units</t>
  </si>
  <si>
    <t>Biodegradable COD</t>
  </si>
  <si>
    <t>Total</t>
  </si>
  <si>
    <t>Estimate key organic fractions and check if your estimated BOD and COD matches the measured data</t>
  </si>
  <si>
    <t>Color code</t>
  </si>
  <si>
    <t>Meaning</t>
  </si>
  <si>
    <t>Black</t>
  </si>
  <si>
    <t>Calculation result, cannot be edited</t>
  </si>
  <si>
    <t>Intermediate result, cannot be edited</t>
  </si>
  <si>
    <t>Objective</t>
  </si>
  <si>
    <t>Enter measured data - estimate missing data. The tool will help to refine your estimates.</t>
  </si>
  <si>
    <r>
      <t>S</t>
    </r>
    <r>
      <rPr>
        <b/>
        <vertAlign val="subscript"/>
        <sz val="11"/>
        <color theme="1"/>
        <rFont val="Calibri"/>
        <family val="2"/>
        <scheme val="minor"/>
      </rPr>
      <t>VFA</t>
    </r>
  </si>
  <si>
    <r>
      <t>S</t>
    </r>
    <r>
      <rPr>
        <b/>
        <vertAlign val="subscript"/>
        <sz val="11"/>
        <color indexed="8"/>
        <rFont val="Calibri"/>
        <family val="2"/>
        <scheme val="minor"/>
      </rPr>
      <t>B</t>
    </r>
  </si>
  <si>
    <r>
      <t>S</t>
    </r>
    <r>
      <rPr>
        <b/>
        <vertAlign val="subscript"/>
        <sz val="11"/>
        <color theme="1"/>
        <rFont val="Calibri"/>
        <family val="2"/>
        <scheme val="minor"/>
      </rPr>
      <t>MEOL</t>
    </r>
  </si>
  <si>
    <r>
      <t>C</t>
    </r>
    <r>
      <rPr>
        <b/>
        <vertAlign val="subscript"/>
        <sz val="11"/>
        <color indexed="8"/>
        <rFont val="Calibri"/>
        <family val="2"/>
        <scheme val="minor"/>
      </rPr>
      <t>B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</si>
  <si>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B</t>
    </r>
  </si>
  <si>
    <r>
      <t>S</t>
    </r>
    <r>
      <rPr>
        <b/>
        <vertAlign val="subscript"/>
        <sz val="11"/>
        <color indexed="8"/>
        <rFont val="Calibri"/>
        <family val="2"/>
        <scheme val="minor"/>
      </rPr>
      <t>U</t>
    </r>
  </si>
  <si>
    <r>
      <t>C</t>
    </r>
    <r>
      <rPr>
        <b/>
        <vertAlign val="subscript"/>
        <sz val="11"/>
        <color indexed="8"/>
        <rFont val="Calibri"/>
        <family val="2"/>
        <scheme val="minor"/>
      </rPr>
      <t>U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</si>
  <si>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U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</si>
  <si>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PHA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</si>
  <si>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E</t>
    </r>
  </si>
  <si>
    <t>Endogenous decay products</t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</si>
  <si>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OHO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</si>
  <si>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MEOLO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</si>
  <si>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AMETO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</si>
  <si>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HMETO</t>
    </r>
  </si>
  <si>
    <t>Filtered</t>
  </si>
  <si>
    <t>Filtered flocculated</t>
  </si>
  <si>
    <t>cBOD estimation</t>
  </si>
  <si>
    <t>Key components</t>
  </si>
  <si>
    <t>Colloidal slowly biodegradable substrate</t>
  </si>
  <si>
    <t>Particulate slowly biodegradable substrate</t>
  </si>
  <si>
    <t>%</t>
  </si>
  <si>
    <t>Other components</t>
  </si>
  <si>
    <t>% of total</t>
  </si>
  <si>
    <t>Check fractions</t>
  </si>
  <si>
    <t>COD/BOD/TSS/VSS match</t>
  </si>
  <si>
    <t>Error tolerances</t>
  </si>
  <si>
    <t>BOD</t>
  </si>
  <si>
    <t>TSS&amp;VSS</t>
  </si>
  <si>
    <t>no match</t>
  </si>
  <si>
    <t>good match</t>
  </si>
  <si>
    <t>Verdict</t>
  </si>
  <si>
    <t>Version</t>
  </si>
  <si>
    <t>3 - 8</t>
  </si>
  <si>
    <t>Calcium</t>
  </si>
  <si>
    <t>To be estimated</t>
  </si>
  <si>
    <t>Usual value in US</t>
  </si>
  <si>
    <t>Influent fractions from data</t>
  </si>
  <si>
    <t>Influent fractions to estimate</t>
  </si>
  <si>
    <t>Particulate COD</t>
  </si>
  <si>
    <t>Key indicators for sanity check</t>
  </si>
  <si>
    <t>Particulate COD/VSS</t>
  </si>
  <si>
    <r>
      <t>MGD or 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/d</t>
    </r>
  </si>
  <si>
    <t>NH4 fraction of TKN</t>
  </si>
  <si>
    <t>PO4 fraction of TP</t>
  </si>
  <si>
    <t>Grey</t>
  </si>
  <si>
    <t>Parameter under development, not used</t>
  </si>
  <si>
    <t>Unbiodegradable fraction of filtered COD</t>
  </si>
  <si>
    <t>Overall COD/VSS ratio</t>
  </si>
  <si>
    <t>Measured</t>
  </si>
  <si>
    <t>Calculated from weighted average</t>
  </si>
  <si>
    <t>Size factor</t>
  </si>
  <si>
    <t>For one day simulation, copy-paste ONE of the blue highlighted areas to Sumo influent dynamics</t>
  </si>
  <si>
    <t>For longer diurnal simulation, use 24 hour cycletime in Sumo Input Setup/Dynamics</t>
  </si>
  <si>
    <t>Diurnal flow</t>
  </si>
  <si>
    <t>Weighted average COD/VSS</t>
  </si>
  <si>
    <r>
      <t>Influent cBOD</t>
    </r>
    <r>
      <rPr>
        <vertAlign val="subscript"/>
        <sz val="11"/>
        <rFont val="Calibri"/>
        <family val="2"/>
        <scheme val="minor"/>
      </rPr>
      <t>5</t>
    </r>
  </si>
  <si>
    <t>mg COD/mg VSS</t>
  </si>
  <si>
    <r>
      <t>Other salts expressed as H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CO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and NaCl</t>
    </r>
  </si>
  <si>
    <t xml:space="preserve">Inorganic (fixed) suspended solids </t>
  </si>
  <si>
    <t>mg TSS/L</t>
  </si>
  <si>
    <r>
      <t>BOD</t>
    </r>
    <r>
      <rPr>
        <vertAlign val="subscript"/>
        <sz val="11"/>
        <color indexed="8"/>
        <rFont val="Calibri"/>
        <family val="2"/>
      </rPr>
      <t>20</t>
    </r>
    <r>
      <rPr>
        <sz val="11"/>
        <color indexed="8"/>
        <rFont val="Calibri"/>
        <family val="2"/>
      </rPr>
      <t xml:space="preserve"> (Ultimate BOD)</t>
    </r>
  </si>
  <si>
    <r>
      <t>cBOD</t>
    </r>
    <r>
      <rPr>
        <vertAlign val="subscript"/>
        <sz val="11"/>
        <color indexed="8"/>
        <rFont val="Calibri"/>
        <family val="2"/>
      </rPr>
      <t>5</t>
    </r>
  </si>
  <si>
    <r>
      <t>g TSS/m</t>
    </r>
    <r>
      <rPr>
        <vertAlign val="superscript"/>
        <sz val="11"/>
        <rFont val="Calibri"/>
        <family val="2"/>
        <scheme val="minor"/>
      </rPr>
      <t>3</t>
    </r>
  </si>
  <si>
    <t>Influent constituents (usually zero or otherwise calculated)</t>
  </si>
  <si>
    <r>
      <t>g COD/m</t>
    </r>
    <r>
      <rPr>
        <vertAlign val="superscript"/>
        <sz val="11"/>
        <rFont val="Calibri"/>
        <family val="2"/>
        <scheme val="minor"/>
      </rPr>
      <t>3</t>
    </r>
  </si>
  <si>
    <r>
      <t>g 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/m</t>
    </r>
    <r>
      <rPr>
        <vertAlign val="superscript"/>
        <sz val="11"/>
        <rFont val="Calibri"/>
        <family val="2"/>
        <scheme val="minor"/>
      </rPr>
      <t>3</t>
    </r>
  </si>
  <si>
    <r>
      <t>mg 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/L</t>
    </r>
  </si>
  <si>
    <r>
      <t>g N/m</t>
    </r>
    <r>
      <rPr>
        <vertAlign val="superscript"/>
        <sz val="11"/>
        <rFont val="Calibri"/>
        <family val="2"/>
        <scheme val="minor"/>
      </rPr>
      <t>3</t>
    </r>
  </si>
  <si>
    <t>mg N/L</t>
  </si>
  <si>
    <t>mg P/L</t>
  </si>
  <si>
    <r>
      <t>g P/m</t>
    </r>
    <r>
      <rPr>
        <vertAlign val="superscript"/>
        <sz val="11"/>
        <rFont val="Calibri"/>
        <family val="2"/>
        <scheme val="minor"/>
      </rPr>
      <t>3</t>
    </r>
  </si>
  <si>
    <r>
      <t>g CaCO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/m</t>
    </r>
    <r>
      <rPr>
        <vertAlign val="superscript"/>
        <sz val="11"/>
        <rFont val="Calibri"/>
        <family val="2"/>
        <scheme val="minor"/>
      </rPr>
      <t>3</t>
    </r>
  </si>
  <si>
    <r>
      <t>mg CaCO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/L</t>
    </r>
  </si>
  <si>
    <r>
      <t>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/d</t>
    </r>
  </si>
  <si>
    <t>mg Fe/L</t>
  </si>
  <si>
    <r>
      <t>g Fe/m</t>
    </r>
    <r>
      <rPr>
        <vertAlign val="superscript"/>
        <sz val="11"/>
        <rFont val="Calibri"/>
        <family val="2"/>
        <scheme val="minor"/>
      </rPr>
      <t>3</t>
    </r>
  </si>
  <si>
    <t>Particulate COD/VSS ratios by component</t>
  </si>
  <si>
    <t>Sumo forms</t>
  </si>
  <si>
    <t>Calculations</t>
  </si>
  <si>
    <t>BOD calculations and error tolerances</t>
  </si>
  <si>
    <t>Help</t>
  </si>
  <si>
    <t>This sheet</t>
  </si>
  <si>
    <t>so-so…</t>
  </si>
  <si>
    <r>
      <t>g Ca.m</t>
    </r>
    <r>
      <rPr>
        <vertAlign val="superscript"/>
        <sz val="11"/>
        <rFont val="Calibri"/>
        <family val="2"/>
        <scheme val="minor"/>
      </rPr>
      <t>-3</t>
    </r>
  </si>
  <si>
    <r>
      <t>g Cl.m</t>
    </r>
    <r>
      <rPr>
        <vertAlign val="superscript"/>
        <sz val="11"/>
        <rFont val="Calibri"/>
        <family val="2"/>
        <scheme val="minor"/>
      </rPr>
      <t>-3</t>
    </r>
  </si>
  <si>
    <r>
      <t>g Mg.m</t>
    </r>
    <r>
      <rPr>
        <vertAlign val="superscript"/>
        <sz val="11"/>
        <rFont val="Calibri"/>
        <family val="2"/>
        <scheme val="minor"/>
      </rPr>
      <t>-3</t>
    </r>
  </si>
  <si>
    <t>100-300</t>
  </si>
  <si>
    <t>Anions (expressed as chloride)</t>
  </si>
  <si>
    <t>Ionic components</t>
  </si>
  <si>
    <t>d</t>
  </si>
  <si>
    <t>h</t>
  </si>
  <si>
    <t>m3/d</t>
  </si>
  <si>
    <t>pH and alkalinity</t>
  </si>
  <si>
    <t>Potassium</t>
  </si>
  <si>
    <r>
      <t>g K.m</t>
    </r>
    <r>
      <rPr>
        <vertAlign val="superscript"/>
        <sz val="11"/>
        <rFont val="Calibri"/>
        <family val="2"/>
        <scheme val="minor"/>
      </rPr>
      <t>-3</t>
    </r>
  </si>
  <si>
    <t>mg Ca/L</t>
  </si>
  <si>
    <t>mg Mg/L</t>
  </si>
  <si>
    <t>mg Cl/L</t>
  </si>
  <si>
    <r>
      <t>g Na.m</t>
    </r>
    <r>
      <rPr>
        <vertAlign val="superscript"/>
        <sz val="11"/>
        <rFont val="Calibri"/>
        <family val="2"/>
        <scheme val="minor"/>
      </rPr>
      <t>-3</t>
    </r>
  </si>
  <si>
    <t>mg Na/L</t>
  </si>
  <si>
    <t>Anaerobic endogenous decay product</t>
  </si>
  <si>
    <t>Cations (expressed as Sodium)</t>
  </si>
  <si>
    <t>Other measurements  indicators for sanity check</t>
  </si>
  <si>
    <t>COD - BOD indicators for sanity check</t>
  </si>
  <si>
    <r>
      <t>mg O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/L</t>
    </r>
  </si>
  <si>
    <t>mg BOD/L</t>
  </si>
  <si>
    <t>mg CaCO3/L</t>
  </si>
  <si>
    <t>N in biomass</t>
  </si>
  <si>
    <t>Soluble biodegradable organic N</t>
  </si>
  <si>
    <t>Particulate biodegradable organic N</t>
  </si>
  <si>
    <t>Particulate unbiodegradable organic N</t>
  </si>
  <si>
    <t>Key components N</t>
  </si>
  <si>
    <t>N content of biomasses</t>
  </si>
  <si>
    <r>
      <t>g N.g COD</t>
    </r>
    <r>
      <rPr>
        <vertAlign val="superscript"/>
        <sz val="11"/>
        <rFont val="Calibri"/>
        <family val="2"/>
        <scheme val="minor"/>
      </rPr>
      <t>-1</t>
    </r>
  </si>
  <si>
    <t>P content of biomasses</t>
  </si>
  <si>
    <r>
      <t>g P.g COD</t>
    </r>
    <r>
      <rPr>
        <vertAlign val="superscript"/>
        <sz val="11"/>
        <rFont val="Calibri"/>
        <family val="2"/>
        <scheme val="minor"/>
      </rPr>
      <t>-1</t>
    </r>
  </si>
  <si>
    <t>Model parameters</t>
  </si>
  <si>
    <t>P in biomass</t>
  </si>
  <si>
    <t>Soluble biodegradable organic P</t>
  </si>
  <si>
    <t>Particulate biodegradable organic P</t>
  </si>
  <si>
    <t>Particulate unbiodegradable organic P</t>
  </si>
  <si>
    <t>Key components P</t>
  </si>
  <si>
    <t>Colloidal biodegradable organic N</t>
  </si>
  <si>
    <t>Soluble unbiodegradable organic N</t>
  </si>
  <si>
    <t>Colloidal unbiodegradable organic N</t>
  </si>
  <si>
    <t>Colloidal biodegradable organic P</t>
  </si>
  <si>
    <t>Soluble unbiodegradable organic P</t>
  </si>
  <si>
    <t>Colloidal unbiodegradable organic P</t>
  </si>
  <si>
    <t>Total TKN</t>
  </si>
  <si>
    <t>Total P</t>
  </si>
  <si>
    <t>Balance passed</t>
  </si>
  <si>
    <t>Default %</t>
  </si>
  <si>
    <t>To be estimated %</t>
  </si>
  <si>
    <t>VSS/TSS fraction</t>
  </si>
  <si>
    <t>Calculated from data %</t>
  </si>
  <si>
    <t>Check that COD, N, P components add up to totals</t>
  </si>
  <si>
    <t>N content of colloidal substrate</t>
  </si>
  <si>
    <t>N content of colloidal inert organics</t>
  </si>
  <si>
    <t>N content of soluble inerts</t>
  </si>
  <si>
    <t>P content of colloidal substrate</t>
  </si>
  <si>
    <t>P content of colloidal inert organics</t>
  </si>
  <si>
    <t>P content of soluble inerts</t>
  </si>
  <si>
    <t>12 - 15</t>
  </si>
  <si>
    <t>TDM</t>
  </si>
  <si>
    <t>Dissolved material</t>
  </si>
  <si>
    <t>BOD/TSS ratio</t>
  </si>
  <si>
    <t>10 -20</t>
  </si>
  <si>
    <t>65 - 75</t>
  </si>
  <si>
    <t>50- 60</t>
  </si>
  <si>
    <t>BOD calculation</t>
  </si>
  <si>
    <t>Yield on ultimate BOD (g O2.g COD-1)</t>
  </si>
  <si>
    <t>Fraction of BOD5 to ultimate BOD in soluble biodegradable substrates (-)</t>
  </si>
  <si>
    <t>Fraction of BOD5 to ultimate BOD in colloidal biodegradable substrates (-)</t>
  </si>
  <si>
    <t>Fraction of BOD5 to ultimate BOD in particulate biodegradable substrates (-)</t>
  </si>
  <si>
    <t>Fraction of filtered COD (SCCOD, 1.5 µm, incl. colloids) in total COD (TCOD)</t>
  </si>
  <si>
    <t>Fraction of flocculated filtered (SCOD, wo colloids) COD in total COD (TCOD)</t>
  </si>
  <si>
    <t>Fraction of VFA in filtered COD (SCCOD, 1.5 µm, incl. colloids)</t>
  </si>
  <si>
    <t>Fraction of soluble unbiodegradable organics (SU) in filtered COD (SCCOD, 1.5 µm, incl. colloids)</t>
  </si>
  <si>
    <t>Fraction of particulate unbiodegradable organics (XU) in total COD (TCOD)</t>
  </si>
  <si>
    <t>Fraction of colloidal unbiodegradable organics (CU) in colloidal COD (SCCOD-SCOD)</t>
  </si>
  <si>
    <t>Fraction of N in readily biodegradable substrate (SB)</t>
  </si>
  <si>
    <t>Fraction of N in particulate unbiodegradable substrate (XU)</t>
  </si>
  <si>
    <t>Fraction of P in readily biodegradable substrate (SB)</t>
  </si>
  <si>
    <t>Fraction of P in particulate unbiodegradable substrate (XU)</t>
  </si>
  <si>
    <t>COD of biomass in volatile solids</t>
  </si>
  <si>
    <t>COD of biodegradable substrate in volatile solids</t>
  </si>
  <si>
    <t>COD of particulate unbiodegradable organics in volatile solids</t>
  </si>
  <si>
    <t>COD of endogenous products in volatile solids</t>
  </si>
  <si>
    <t>COD of PHA in volatile solids</t>
  </si>
  <si>
    <t>To be estimated
g COD/g VSS</t>
  </si>
  <si>
    <t>Model setup</t>
  </si>
  <si>
    <t>Key parameters</t>
  </si>
  <si>
    <t>g COD/g VSS</t>
  </si>
  <si>
    <t>Yield on ultimate BOD</t>
  </si>
  <si>
    <r>
      <t>g 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/g DCO</t>
    </r>
  </si>
  <si>
    <t>Influent input setup</t>
  </si>
  <si>
    <t>Fraction of VSS/TSS</t>
  </si>
  <si>
    <t>Fraction of NHx in total Kjeldahl nitrogen (TKN)</t>
  </si>
  <si>
    <t>Fraction of PO4 in total phosphorus (TP)</t>
  </si>
  <si>
    <t>Dissolved oxygen (O2)</t>
  </si>
  <si>
    <t>Methanol (MEOL)</t>
  </si>
  <si>
    <t>Stored polyhydroxyalkanoates (PHA)</t>
  </si>
  <si>
    <t>Anaerobic endogenous decay products</t>
  </si>
  <si>
    <t>Anoxic methanol utilizers (MEOLO)</t>
  </si>
  <si>
    <t>Acidoclastic methanogens (AMETO)</t>
  </si>
  <si>
    <t>Hydrogenotrophic methanogens (HMETO)</t>
  </si>
  <si>
    <t>Dissolved nitrogen (N2)</t>
  </si>
  <si>
    <t>Stored polyphosphate (PP)</t>
  </si>
  <si>
    <t>Dissolved methane (CH4)</t>
  </si>
  <si>
    <t>Dissolved hydrogen (H2)</t>
  </si>
  <si>
    <t>Ferric ion (Fe3)</t>
  </si>
  <si>
    <t>Ferrous ion (Fe2)</t>
  </si>
  <si>
    <t>Aged unused hydrous ferric oxide (HFO,old)</t>
  </si>
  <si>
    <t>P-bound hydrous ferric oxide, high surface (HFO,H,P)</t>
  </si>
  <si>
    <t>P-bound hydrous ferric oxide, low surface (HFO,L,P)</t>
  </si>
  <si>
    <t>Calcium carbonate (CaCO3)</t>
  </si>
  <si>
    <t>Amorphous calcium phosphate (ACP)</t>
  </si>
  <si>
    <t>Struvite (STR)</t>
  </si>
  <si>
    <t>Vivianite (Vivi)</t>
  </si>
  <si>
    <t>Stored glycogen (GLY)</t>
  </si>
  <si>
    <r>
      <t>Active site factor for HFO</t>
    </r>
    <r>
      <rPr>
        <vertAlign val="subscript"/>
        <sz val="11"/>
        <rFont val="Calibri"/>
        <family val="2"/>
        <scheme val="minor"/>
      </rPr>
      <t>H</t>
    </r>
  </si>
  <si>
    <r>
      <t>mol P.mol Fe</t>
    </r>
    <r>
      <rPr>
        <vertAlign val="superscript"/>
        <sz val="11"/>
        <rFont val="Calibri"/>
        <family val="2"/>
        <scheme val="minor"/>
      </rPr>
      <t>-1</t>
    </r>
  </si>
  <si>
    <r>
      <t>Active site factor for HFO</t>
    </r>
    <r>
      <rPr>
        <vertAlign val="subscript"/>
        <sz val="11"/>
        <rFont val="Calibri"/>
        <family val="2"/>
        <scheme val="minor"/>
      </rPr>
      <t>L</t>
    </r>
  </si>
  <si>
    <t>Atomic mass of phosphorus</t>
  </si>
  <si>
    <r>
      <t>g.mol</t>
    </r>
    <r>
      <rPr>
        <vertAlign val="superscript"/>
        <sz val="11"/>
        <rFont val="Calibri"/>
        <family val="2"/>
        <scheme val="minor"/>
      </rPr>
      <t>-1</t>
    </r>
  </si>
  <si>
    <t>Atomic mass of iron</t>
  </si>
  <si>
    <t>Stored polyphosphates</t>
  </si>
  <si>
    <t>Total phosphorus in HFOs</t>
  </si>
  <si>
    <t>Stored Glycogen</t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</si>
  <si>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GLY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</si>
  <si>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E,ana</t>
    </r>
  </si>
  <si>
    <t>Nitrite</t>
  </si>
  <si>
    <t>Nitrate</t>
  </si>
  <si>
    <t>Nitrite (NO2)</t>
  </si>
  <si>
    <t>Nitrate (NO3)</t>
  </si>
  <si>
    <t>Aerobic ammonia oxidizers (AOB)</t>
  </si>
  <si>
    <t>Nitrite oxidizers (NOB)</t>
  </si>
  <si>
    <t>Anammox organisms (AMX)</t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</si>
  <si>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AOB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</si>
  <si>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NOB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</si>
  <si>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AMX</t>
    </r>
  </si>
  <si>
    <t>Ordinary heterotrophs (OHO)</t>
  </si>
  <si>
    <t>Fraction of total heterotrophs (OHO+AHO) in total COD (TCOD)</t>
  </si>
  <si>
    <t>Fraction of influent A-stage Ordinary heterotrophs (AHO) in heterotrophic biomass</t>
  </si>
  <si>
    <t>Readily biodegradable substrate and heterotrophs fractionation</t>
  </si>
  <si>
    <t>A-stage Ordinary heterotrophs (AHO)</t>
  </si>
  <si>
    <t>Readily biodegradable substrate as monomers (non-VFA)</t>
  </si>
  <si>
    <t>Readily biodegradable substrate as polymers</t>
  </si>
  <si>
    <t>Fraction of readily biodegradable substrate as monomers (SB,mono) in readily biodegradable substrate</t>
  </si>
  <si>
    <t>only if "Calculated pH" option is on</t>
  </si>
  <si>
    <t>BOD stoichiometry</t>
  </si>
  <si>
    <t>N content of endogenous products</t>
  </si>
  <si>
    <t>N content of AHO</t>
  </si>
  <si>
    <r>
      <t>g Al/m</t>
    </r>
    <r>
      <rPr>
        <vertAlign val="superscript"/>
        <sz val="11"/>
        <rFont val="Calibri"/>
        <family val="2"/>
        <scheme val="minor"/>
      </rPr>
      <t>3</t>
    </r>
  </si>
  <si>
    <t>mg Al/L</t>
  </si>
  <si>
    <t>Fraction of endogenous products (XE) of OHOs</t>
  </si>
  <si>
    <t>This tool helps to convert measured influent data into Sumo2C model input fractions</t>
  </si>
  <si>
    <t>Copy results to Sumo (Sumo2C Concentration based influent, Input Setup tab)</t>
  </si>
  <si>
    <t>Carbon storing organisms (CASTO)</t>
  </si>
  <si>
    <t>N in endogenous decay product</t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</si>
  <si>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CASTO</t>
    </r>
  </si>
  <si>
    <t>Sumo2C components considered for COD and BOD calculations</t>
  </si>
  <si>
    <t>Storage product of AHO</t>
  </si>
  <si>
    <t>Percentage distribution based on subgroups</t>
  </si>
  <si>
    <t>Percentage based on total</t>
  </si>
  <si>
    <t>Total chemical oxidation demand</t>
  </si>
  <si>
    <t>Total suspended solids</t>
  </si>
  <si>
    <t>mg SS/L</t>
  </si>
  <si>
    <t>Particulate chemical oxidation demand</t>
  </si>
  <si>
    <t>Filtered chemical oxidation demand</t>
  </si>
  <si>
    <t>Inorganic suspended solids</t>
  </si>
  <si>
    <t>Volatile suspended solids</t>
  </si>
  <si>
    <t>cCOD</t>
  </si>
  <si>
    <t>ffCOD</t>
  </si>
  <si>
    <t>XB</t>
  </si>
  <si>
    <t>XU</t>
  </si>
  <si>
    <t>XE</t>
  </si>
  <si>
    <t>Others</t>
  </si>
  <si>
    <t>CB</t>
  </si>
  <si>
    <t>CU</t>
  </si>
  <si>
    <t>SVFA</t>
  </si>
  <si>
    <t>SB</t>
  </si>
  <si>
    <t>SU</t>
  </si>
  <si>
    <t>Total Nitrogen</t>
  </si>
  <si>
    <t>mgN/L</t>
  </si>
  <si>
    <t>Nitrate plus nitrite</t>
  </si>
  <si>
    <t>Ortho phosphate</t>
  </si>
  <si>
    <t>Total organic P</t>
  </si>
  <si>
    <t>Particulate organic P</t>
  </si>
  <si>
    <t>Colloidal organic P</t>
  </si>
  <si>
    <t>Soluble organic P</t>
  </si>
  <si>
    <t>Particulate organic N</t>
  </si>
  <si>
    <t>P of biomass</t>
  </si>
  <si>
    <t>Stored P</t>
  </si>
  <si>
    <t>XP,B</t>
  </si>
  <si>
    <t>XP,U</t>
  </si>
  <si>
    <t>P content of CB</t>
  </si>
  <si>
    <t>P content of CU</t>
  </si>
  <si>
    <t>SP,B</t>
  </si>
  <si>
    <t>P content of SU</t>
  </si>
  <si>
    <t>N of biomass</t>
  </si>
  <si>
    <t>N of XE</t>
  </si>
  <si>
    <t>XN,B</t>
  </si>
  <si>
    <t>XN,U</t>
  </si>
  <si>
    <t>N content of CB</t>
  </si>
  <si>
    <t>N content of CU</t>
  </si>
  <si>
    <t>SN,B</t>
  </si>
  <si>
    <t>N content of SU</t>
  </si>
  <si>
    <t>XOHO+XAHO</t>
  </si>
  <si>
    <t>Total Phosphorus</t>
  </si>
  <si>
    <t>Total Kjeldahl Nitrogen</t>
  </si>
  <si>
    <t>Total Organic Nitrogen</t>
  </si>
  <si>
    <t>Total ammonia</t>
  </si>
  <si>
    <t>Colloidal organic N</t>
  </si>
  <si>
    <t>Soluble organic N</t>
  </si>
  <si>
    <t>Other strong anions (as chloride)</t>
  </si>
  <si>
    <t>Other strong cations (as sodium)</t>
  </si>
  <si>
    <t>Aluminium (Al)</t>
  </si>
  <si>
    <t>Aged unused hydrous aluminium oxide (HAO,old)</t>
  </si>
  <si>
    <t>P-bound hydrous aluminium oxide, high surface (HAO,H,P)</t>
  </si>
  <si>
    <t>P-bound hydrous aluminium oxide, low surface (HAO,L,P)</t>
  </si>
  <si>
    <t>Aged P-bound hydrous aluminium oxide, high surface (HAO,H,P,old)</t>
  </si>
  <si>
    <t>Aged P-bound hydrous aluminium oxide, low surface (HAO,L,P,old)</t>
  </si>
  <si>
    <t>Brushite (BSH)</t>
  </si>
  <si>
    <t>TSS content of PP</t>
  </si>
  <si>
    <r>
      <t>g X</t>
    </r>
    <r>
      <rPr>
        <vertAlign val="subscript"/>
        <sz val="11"/>
        <color indexed="8"/>
        <rFont val="Calibri"/>
        <family val="2"/>
        <charset val="238"/>
      </rPr>
      <t>TSS</t>
    </r>
    <r>
      <rPr>
        <sz val="11"/>
        <color indexed="8"/>
        <rFont val="Calibri"/>
        <family val="2"/>
      </rPr>
      <t>.g XPP</t>
    </r>
    <r>
      <rPr>
        <vertAlign val="superscript"/>
        <sz val="11"/>
        <color indexed="8"/>
        <rFont val="Calibri"/>
        <family val="2"/>
        <charset val="238"/>
      </rPr>
      <t>-1</t>
    </r>
  </si>
  <si>
    <r>
      <t>Fraction of H</t>
    </r>
    <r>
      <rPr>
        <vertAlign val="sub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</rPr>
      <t>O loss in TSS test for HFO</t>
    </r>
  </si>
  <si>
    <r>
      <t>g H</t>
    </r>
    <r>
      <rPr>
        <vertAlign val="sub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</rPr>
      <t>O.g Fe(OH)</t>
    </r>
    <r>
      <rPr>
        <vertAlign val="subscript"/>
        <sz val="11"/>
        <color indexed="8"/>
        <rFont val="Calibri"/>
        <family val="2"/>
        <charset val="238"/>
      </rPr>
      <t>3</t>
    </r>
    <r>
      <rPr>
        <vertAlign val="superscript"/>
        <sz val="11"/>
        <color indexed="8"/>
        <rFont val="Calibri"/>
        <family val="2"/>
        <charset val="238"/>
      </rPr>
      <t>-1</t>
    </r>
  </si>
  <si>
    <r>
      <t>Fraction of H</t>
    </r>
    <r>
      <rPr>
        <vertAlign val="sub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</rPr>
      <t>O loss in TSS test for HAO</t>
    </r>
  </si>
  <si>
    <r>
      <t>g H</t>
    </r>
    <r>
      <rPr>
        <vertAlign val="sub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</rPr>
      <t>O.g Al(OH)</t>
    </r>
    <r>
      <rPr>
        <vertAlign val="subscript"/>
        <sz val="11"/>
        <color indexed="8"/>
        <rFont val="Calibri"/>
        <family val="2"/>
        <charset val="238"/>
      </rPr>
      <t>3</t>
    </r>
    <r>
      <rPr>
        <vertAlign val="superscript"/>
        <sz val="11"/>
        <color indexed="8"/>
        <rFont val="Calibri"/>
        <family val="2"/>
        <charset val="238"/>
      </rPr>
      <t>-1</t>
    </r>
  </si>
  <si>
    <t>Active site factor for HAO,H</t>
  </si>
  <si>
    <r>
      <t>mol P.mol Al</t>
    </r>
    <r>
      <rPr>
        <vertAlign val="superscript"/>
        <sz val="11"/>
        <color indexed="8"/>
        <rFont val="Calibri"/>
        <family val="2"/>
        <charset val="238"/>
      </rPr>
      <t>-1</t>
    </r>
  </si>
  <si>
    <t>Active site factor for HAO,L</t>
  </si>
  <si>
    <t>Atomic mass of aluminium</t>
  </si>
  <si>
    <t>Molecular mass of phosphate</t>
  </si>
  <si>
    <r>
      <t>Molecular mass of Fe(OH)</t>
    </r>
    <r>
      <rPr>
        <vertAlign val="subscript"/>
        <sz val="11"/>
        <color indexed="8"/>
        <rFont val="Calibri"/>
        <family val="2"/>
        <charset val="238"/>
      </rPr>
      <t>3</t>
    </r>
  </si>
  <si>
    <r>
      <t>Molecular mass of Al(OH)</t>
    </r>
    <r>
      <rPr>
        <vertAlign val="subscript"/>
        <sz val="11"/>
        <color indexed="8"/>
        <rFont val="Calibri"/>
        <family val="2"/>
        <charset val="238"/>
      </rPr>
      <t>3</t>
    </r>
  </si>
  <si>
    <t>Sumo22</t>
  </si>
  <si>
    <r>
      <t>g COD.g VS</t>
    </r>
    <r>
      <rPr>
        <vertAlign val="superscript"/>
        <sz val="11"/>
        <rFont val="Calibri"/>
        <family val="2"/>
        <scheme val="minor"/>
      </rPr>
      <t>-1</t>
    </r>
  </si>
  <si>
    <t>Total HFOs in TSS unit</t>
  </si>
  <si>
    <t>Total HAOs in TSS unit</t>
  </si>
  <si>
    <t>Total precipitates</t>
  </si>
  <si>
    <t>Stored polyphosphates in TSS unit</t>
  </si>
  <si>
    <t>Total volatile solid</t>
  </si>
  <si>
    <t>Total TSS</t>
  </si>
  <si>
    <t>Total phosphorus in HAOs</t>
  </si>
  <si>
    <t>www.dynamita.com</t>
  </si>
  <si>
    <t>Symbol</t>
  </si>
  <si>
    <r>
      <t>T</t>
    </r>
    <r>
      <rPr>
        <vertAlign val="subscript"/>
        <sz val="11"/>
        <rFont val="Calibri"/>
        <family val="2"/>
        <scheme val="minor"/>
      </rPr>
      <t>COD</t>
    </r>
  </si>
  <si>
    <r>
      <t>T</t>
    </r>
    <r>
      <rPr>
        <vertAlign val="subscript"/>
        <sz val="11"/>
        <rFont val="Calibri"/>
        <family val="2"/>
        <scheme val="minor"/>
      </rPr>
      <t>KN</t>
    </r>
  </si>
  <si>
    <r>
      <t>T</t>
    </r>
    <r>
      <rPr>
        <vertAlign val="subscript"/>
        <sz val="11"/>
        <rFont val="Calibri"/>
        <family val="2"/>
        <scheme val="minor"/>
      </rPr>
      <t>P</t>
    </r>
  </si>
  <si>
    <r>
      <t>S</t>
    </r>
    <r>
      <rPr>
        <vertAlign val="subscript"/>
        <sz val="11"/>
        <rFont val="Calibri"/>
        <family val="2"/>
        <scheme val="minor"/>
      </rPr>
      <t>ALK,input</t>
    </r>
  </si>
  <si>
    <r>
      <t>fr</t>
    </r>
    <r>
      <rPr>
        <vertAlign val="subscript"/>
        <sz val="11"/>
        <rFont val="Calibri"/>
        <family val="2"/>
        <scheme val="minor"/>
      </rPr>
      <t>VSS,TSS</t>
    </r>
  </si>
  <si>
    <r>
      <t>fr</t>
    </r>
    <r>
      <rPr>
        <vertAlign val="subscript"/>
        <sz val="11"/>
        <rFont val="Calibri"/>
        <family val="2"/>
        <scheme val="minor"/>
      </rPr>
      <t>SCCOD,TCOD</t>
    </r>
  </si>
  <si>
    <r>
      <t>fr</t>
    </r>
    <r>
      <rPr>
        <vertAlign val="subscript"/>
        <sz val="11"/>
        <rFont val="Calibri"/>
        <family val="2"/>
        <scheme val="minor"/>
      </rPr>
      <t>SCOD,TCOD</t>
    </r>
  </si>
  <si>
    <r>
      <t>fr</t>
    </r>
    <r>
      <rPr>
        <vertAlign val="subscript"/>
        <sz val="11"/>
        <rFont val="Calibri"/>
        <family val="2"/>
        <scheme val="minor"/>
      </rPr>
      <t>VFA,SCCOD</t>
    </r>
  </si>
  <si>
    <r>
      <t>fr</t>
    </r>
    <r>
      <rPr>
        <vertAlign val="subscript"/>
        <sz val="11"/>
        <rFont val="Calibri"/>
        <family val="2"/>
        <scheme val="minor"/>
      </rPr>
      <t>SU,SCCOD</t>
    </r>
  </si>
  <si>
    <r>
      <t>fr</t>
    </r>
    <r>
      <rPr>
        <vertAlign val="subscript"/>
        <sz val="11"/>
        <rFont val="Calibri"/>
        <family val="2"/>
        <scheme val="minor"/>
      </rPr>
      <t>XU,TCOD</t>
    </r>
  </si>
  <si>
    <r>
      <t>fr</t>
    </r>
    <r>
      <rPr>
        <vertAlign val="subscript"/>
        <sz val="11"/>
        <rFont val="Calibri"/>
        <family val="2"/>
        <scheme val="minor"/>
      </rPr>
      <t>XOHO,TCOD</t>
    </r>
  </si>
  <si>
    <r>
      <t>fr</t>
    </r>
    <r>
      <rPr>
        <vertAlign val="subscript"/>
        <sz val="11"/>
        <rFont val="Calibri"/>
        <family val="2"/>
        <scheme val="minor"/>
      </rPr>
      <t>XE,XOHO</t>
    </r>
  </si>
  <si>
    <r>
      <t>fr</t>
    </r>
    <r>
      <rPr>
        <vertAlign val="subscript"/>
        <sz val="11"/>
        <rFont val="Calibri"/>
        <family val="2"/>
        <scheme val="minor"/>
      </rPr>
      <t>CU,CCOD</t>
    </r>
  </si>
  <si>
    <r>
      <t>fr</t>
    </r>
    <r>
      <rPr>
        <vertAlign val="subscript"/>
        <sz val="11"/>
        <rFont val="Calibri"/>
        <family val="2"/>
        <scheme val="minor"/>
      </rPr>
      <t>SNHx,TKN</t>
    </r>
  </si>
  <si>
    <r>
      <t>fr</t>
    </r>
    <r>
      <rPr>
        <vertAlign val="subscript"/>
        <sz val="11"/>
        <rFont val="Calibri"/>
        <family val="2"/>
        <scheme val="minor"/>
      </rPr>
      <t>SPO4,TP</t>
    </r>
  </si>
  <si>
    <r>
      <t>fr</t>
    </r>
    <r>
      <rPr>
        <vertAlign val="subscript"/>
        <sz val="11"/>
        <rFont val="Calibri"/>
        <family val="2"/>
        <scheme val="minor"/>
      </rPr>
      <t>N,SB</t>
    </r>
  </si>
  <si>
    <r>
      <t>fr</t>
    </r>
    <r>
      <rPr>
        <vertAlign val="subscript"/>
        <sz val="11"/>
        <rFont val="Calibri"/>
        <family val="2"/>
        <scheme val="minor"/>
      </rPr>
      <t>N,XU</t>
    </r>
  </si>
  <si>
    <r>
      <t>fr</t>
    </r>
    <r>
      <rPr>
        <vertAlign val="subscript"/>
        <sz val="11"/>
        <rFont val="Calibri"/>
        <family val="2"/>
        <scheme val="minor"/>
      </rPr>
      <t>P,SB</t>
    </r>
  </si>
  <si>
    <r>
      <t>fr</t>
    </r>
    <r>
      <rPr>
        <vertAlign val="subscript"/>
        <sz val="11"/>
        <rFont val="Calibri"/>
        <family val="2"/>
        <scheme val="minor"/>
      </rPr>
      <t>P,XU</t>
    </r>
  </si>
  <si>
    <r>
      <t>S</t>
    </r>
    <r>
      <rPr>
        <vertAlign val="subscript"/>
        <sz val="11"/>
        <rFont val="Calibri"/>
        <family val="2"/>
        <scheme val="minor"/>
      </rPr>
      <t>Ca</t>
    </r>
  </si>
  <si>
    <r>
      <t>S</t>
    </r>
    <r>
      <rPr>
        <vertAlign val="subscript"/>
        <sz val="11"/>
        <rFont val="Calibri"/>
        <family val="2"/>
        <scheme val="minor"/>
      </rPr>
      <t>Mg</t>
    </r>
  </si>
  <si>
    <r>
      <t>S</t>
    </r>
    <r>
      <rPr>
        <vertAlign val="subscript"/>
        <sz val="11"/>
        <rFont val="Calibri"/>
        <family val="2"/>
        <scheme val="minor"/>
      </rPr>
      <t>K</t>
    </r>
  </si>
  <si>
    <r>
      <t>S</t>
    </r>
    <r>
      <rPr>
        <vertAlign val="subscript"/>
        <sz val="11"/>
        <rFont val="Calibri"/>
        <family val="2"/>
        <scheme val="minor"/>
      </rPr>
      <t>AN</t>
    </r>
  </si>
  <si>
    <r>
      <t>S</t>
    </r>
    <r>
      <rPr>
        <vertAlign val="subscript"/>
        <sz val="11"/>
        <rFont val="Calibri"/>
        <family val="2"/>
        <scheme val="minor"/>
      </rPr>
      <t>CAT</t>
    </r>
  </si>
  <si>
    <r>
      <t>S</t>
    </r>
    <r>
      <rPr>
        <vertAlign val="subscript"/>
        <sz val="11"/>
        <rFont val="Calibri"/>
        <family val="2"/>
        <scheme val="minor"/>
      </rPr>
      <t>O2</t>
    </r>
  </si>
  <si>
    <r>
      <t>S</t>
    </r>
    <r>
      <rPr>
        <vertAlign val="subscript"/>
        <sz val="11"/>
        <rFont val="Calibri"/>
        <family val="2"/>
        <scheme val="minor"/>
      </rPr>
      <t>MEOL</t>
    </r>
  </si>
  <si>
    <r>
      <t>X</t>
    </r>
    <r>
      <rPr>
        <vertAlign val="subscript"/>
        <sz val="11"/>
        <rFont val="Calibri"/>
        <family val="2"/>
        <scheme val="minor"/>
      </rPr>
      <t>PHA</t>
    </r>
  </si>
  <si>
    <r>
      <t>X</t>
    </r>
    <r>
      <rPr>
        <vertAlign val="subscript"/>
        <sz val="11"/>
        <rFont val="Calibri"/>
        <family val="2"/>
        <scheme val="minor"/>
      </rPr>
      <t>GLY</t>
    </r>
  </si>
  <si>
    <r>
      <t>X</t>
    </r>
    <r>
      <rPr>
        <vertAlign val="subscript"/>
        <sz val="11"/>
        <rFont val="Calibri"/>
        <family val="2"/>
        <scheme val="minor"/>
      </rPr>
      <t>E,ana</t>
    </r>
  </si>
  <si>
    <r>
      <t>X</t>
    </r>
    <r>
      <rPr>
        <vertAlign val="subscript"/>
        <sz val="11"/>
        <rFont val="Calibri"/>
        <family val="2"/>
        <scheme val="minor"/>
      </rPr>
      <t>CASTO</t>
    </r>
  </si>
  <si>
    <r>
      <t>X</t>
    </r>
    <r>
      <rPr>
        <vertAlign val="subscript"/>
        <sz val="11"/>
        <rFont val="Calibri"/>
        <family val="2"/>
        <scheme val="minor"/>
      </rPr>
      <t>MEOLO</t>
    </r>
  </si>
  <si>
    <r>
      <t>X</t>
    </r>
    <r>
      <rPr>
        <vertAlign val="subscript"/>
        <sz val="11"/>
        <rFont val="Calibri"/>
        <family val="2"/>
        <scheme val="minor"/>
      </rPr>
      <t>AMETO</t>
    </r>
  </si>
  <si>
    <r>
      <t>X</t>
    </r>
    <r>
      <rPr>
        <vertAlign val="subscript"/>
        <sz val="11"/>
        <rFont val="Calibri"/>
        <family val="2"/>
        <scheme val="minor"/>
      </rPr>
      <t>HMETO</t>
    </r>
  </si>
  <si>
    <r>
      <t>S</t>
    </r>
    <r>
      <rPr>
        <vertAlign val="subscript"/>
        <sz val="11"/>
        <rFont val="Calibri"/>
        <family val="2"/>
        <scheme val="minor"/>
      </rPr>
      <t>N2</t>
    </r>
  </si>
  <si>
    <r>
      <t>X</t>
    </r>
    <r>
      <rPr>
        <vertAlign val="subscript"/>
        <sz val="11"/>
        <rFont val="Calibri"/>
        <family val="2"/>
        <scheme val="minor"/>
      </rPr>
      <t>PP</t>
    </r>
  </si>
  <si>
    <r>
      <t>S</t>
    </r>
    <r>
      <rPr>
        <vertAlign val="subscript"/>
        <sz val="11"/>
        <rFont val="Calibri"/>
        <family val="2"/>
        <scheme val="minor"/>
      </rPr>
      <t>CH4</t>
    </r>
  </si>
  <si>
    <r>
      <t>S</t>
    </r>
    <r>
      <rPr>
        <vertAlign val="subscript"/>
        <sz val="11"/>
        <rFont val="Calibri"/>
        <family val="2"/>
        <scheme val="minor"/>
      </rPr>
      <t>H2</t>
    </r>
  </si>
  <si>
    <r>
      <t>S</t>
    </r>
    <r>
      <rPr>
        <vertAlign val="subscript"/>
        <sz val="11"/>
        <rFont val="Calibri"/>
        <family val="2"/>
        <charset val="238"/>
        <scheme val="minor"/>
      </rPr>
      <t>Fe3</t>
    </r>
  </si>
  <si>
    <r>
      <t>S</t>
    </r>
    <r>
      <rPr>
        <vertAlign val="subscript"/>
        <sz val="11"/>
        <rFont val="Calibri"/>
        <family val="2"/>
        <charset val="238"/>
        <scheme val="minor"/>
      </rPr>
      <t>Fe2</t>
    </r>
  </si>
  <si>
    <r>
      <t>S</t>
    </r>
    <r>
      <rPr>
        <vertAlign val="subscript"/>
        <sz val="11"/>
        <rFont val="Calibri"/>
        <family val="2"/>
        <charset val="238"/>
        <scheme val="minor"/>
      </rPr>
      <t>Al</t>
    </r>
  </si>
  <si>
    <r>
      <t>X</t>
    </r>
    <r>
      <rPr>
        <vertAlign val="subscript"/>
        <sz val="11"/>
        <rFont val="Calibri"/>
        <family val="2"/>
        <charset val="238"/>
        <scheme val="minor"/>
      </rPr>
      <t>HFO,old</t>
    </r>
  </si>
  <si>
    <r>
      <t>X</t>
    </r>
    <r>
      <rPr>
        <vertAlign val="subscript"/>
        <sz val="11"/>
        <rFont val="Calibri"/>
        <family val="2"/>
        <scheme val="minor"/>
      </rPr>
      <t>HFO,H,P</t>
    </r>
  </si>
  <si>
    <r>
      <t>X</t>
    </r>
    <r>
      <rPr>
        <vertAlign val="subscript"/>
        <sz val="11"/>
        <rFont val="Calibri"/>
        <family val="2"/>
        <scheme val="minor"/>
      </rPr>
      <t>HFO,L,P</t>
    </r>
  </si>
  <si>
    <r>
      <t>X</t>
    </r>
    <r>
      <rPr>
        <vertAlign val="subscript"/>
        <sz val="11"/>
        <rFont val="Calibri"/>
        <family val="2"/>
        <charset val="238"/>
        <scheme val="minor"/>
      </rPr>
      <t>HFO,H,P,old</t>
    </r>
  </si>
  <si>
    <r>
      <t>X</t>
    </r>
    <r>
      <rPr>
        <vertAlign val="subscript"/>
        <sz val="11"/>
        <rFont val="Calibri"/>
        <family val="2"/>
        <charset val="238"/>
        <scheme val="minor"/>
      </rPr>
      <t>HFO,L,P,old</t>
    </r>
  </si>
  <si>
    <r>
      <t>X</t>
    </r>
    <r>
      <rPr>
        <vertAlign val="subscript"/>
        <sz val="11"/>
        <rFont val="Calibri"/>
        <family val="2"/>
        <scheme val="minor"/>
      </rPr>
      <t>HAO,old</t>
    </r>
  </si>
  <si>
    <r>
      <t>X</t>
    </r>
    <r>
      <rPr>
        <vertAlign val="subscript"/>
        <sz val="11"/>
        <rFont val="Calibri"/>
        <family val="2"/>
        <scheme val="minor"/>
      </rPr>
      <t>HAO,H,P</t>
    </r>
  </si>
  <si>
    <r>
      <t>X</t>
    </r>
    <r>
      <rPr>
        <vertAlign val="subscript"/>
        <sz val="11"/>
        <rFont val="Calibri"/>
        <family val="2"/>
        <scheme val="minor"/>
      </rPr>
      <t>HAO,L,P</t>
    </r>
  </si>
  <si>
    <r>
      <t>X</t>
    </r>
    <r>
      <rPr>
        <vertAlign val="subscript"/>
        <sz val="11"/>
        <rFont val="Calibri"/>
        <family val="2"/>
      </rPr>
      <t>HAO,H,P,old</t>
    </r>
  </si>
  <si>
    <r>
      <t>X</t>
    </r>
    <r>
      <rPr>
        <vertAlign val="subscript"/>
        <sz val="11"/>
        <rFont val="Calibri"/>
        <family val="2"/>
      </rPr>
      <t>HAO,L,P,old</t>
    </r>
  </si>
  <si>
    <r>
      <t>X</t>
    </r>
    <r>
      <rPr>
        <vertAlign val="subscript"/>
        <sz val="12"/>
        <rFont val="Calibri"/>
        <family val="2"/>
        <scheme val="minor"/>
      </rPr>
      <t>CaCO3</t>
    </r>
  </si>
  <si>
    <r>
      <t>X</t>
    </r>
    <r>
      <rPr>
        <b/>
        <vertAlign val="subscript"/>
        <sz val="11"/>
        <rFont val="Calibri"/>
        <family val="2"/>
        <scheme val="minor"/>
      </rPr>
      <t>ACP</t>
    </r>
  </si>
  <si>
    <r>
      <t>X</t>
    </r>
    <r>
      <rPr>
        <vertAlign val="subscript"/>
        <sz val="11"/>
        <rFont val="Calibri"/>
        <family val="2"/>
        <scheme val="minor"/>
      </rPr>
      <t>BSH</t>
    </r>
  </si>
  <si>
    <r>
      <t>X</t>
    </r>
    <r>
      <rPr>
        <vertAlign val="subscript"/>
        <sz val="12"/>
        <rFont val="Calibri"/>
        <family val="2"/>
        <scheme val="minor"/>
      </rPr>
      <t>STR</t>
    </r>
  </si>
  <si>
    <r>
      <t>X</t>
    </r>
    <r>
      <rPr>
        <b/>
        <vertAlign val="subscript"/>
        <sz val="11"/>
        <rFont val="Calibri"/>
        <family val="2"/>
        <scheme val="minor"/>
      </rPr>
      <t>Vivi</t>
    </r>
  </si>
  <si>
    <r>
      <t>X</t>
    </r>
    <r>
      <rPr>
        <vertAlign val="subscript"/>
        <sz val="11"/>
        <rFont val="Calibri"/>
        <family val="2"/>
        <scheme val="minor"/>
      </rPr>
      <t>STO</t>
    </r>
  </si>
  <si>
    <r>
      <t>X</t>
    </r>
    <r>
      <rPr>
        <vertAlign val="subscript"/>
        <sz val="11"/>
        <rFont val="Calibri"/>
        <family val="2"/>
        <scheme val="minor"/>
      </rPr>
      <t>AOB</t>
    </r>
  </si>
  <si>
    <r>
      <t>X</t>
    </r>
    <r>
      <rPr>
        <vertAlign val="subscript"/>
        <sz val="11"/>
        <rFont val="Calibri"/>
        <family val="2"/>
        <scheme val="minor"/>
      </rPr>
      <t>NOB</t>
    </r>
  </si>
  <si>
    <r>
      <t>X</t>
    </r>
    <r>
      <rPr>
        <vertAlign val="subscript"/>
        <sz val="11"/>
        <rFont val="Calibri"/>
        <family val="2"/>
        <scheme val="minor"/>
      </rPr>
      <t>AMX</t>
    </r>
  </si>
  <si>
    <r>
      <t>S</t>
    </r>
    <r>
      <rPr>
        <vertAlign val="subscript"/>
        <sz val="11"/>
        <rFont val="Calibri"/>
        <family val="2"/>
        <scheme val="minor"/>
      </rPr>
      <t>NO3</t>
    </r>
  </si>
  <si>
    <r>
      <t>S</t>
    </r>
    <r>
      <rPr>
        <vertAlign val="subscript"/>
        <sz val="11"/>
        <rFont val="Calibri"/>
        <family val="2"/>
        <scheme val="minor"/>
      </rPr>
      <t>NO2</t>
    </r>
  </si>
  <si>
    <r>
      <t>i</t>
    </r>
    <r>
      <rPr>
        <vertAlign val="subscript"/>
        <sz val="11"/>
        <rFont val="Calibri"/>
        <family val="2"/>
        <scheme val="minor"/>
      </rPr>
      <t>CV,XB</t>
    </r>
  </si>
  <si>
    <r>
      <t>i</t>
    </r>
    <r>
      <rPr>
        <vertAlign val="subscript"/>
        <sz val="11"/>
        <rFont val="Calibri"/>
        <family val="2"/>
        <scheme val="minor"/>
      </rPr>
      <t>CV,XU</t>
    </r>
  </si>
  <si>
    <r>
      <t>i</t>
    </r>
    <r>
      <rPr>
        <vertAlign val="subscript"/>
        <sz val="11"/>
        <rFont val="Calibri"/>
        <family val="2"/>
        <scheme val="minor"/>
      </rPr>
      <t>CV,BIO</t>
    </r>
  </si>
  <si>
    <r>
      <t>i</t>
    </r>
    <r>
      <rPr>
        <vertAlign val="subscript"/>
        <sz val="11"/>
        <rFont val="Calibri"/>
        <family val="2"/>
        <scheme val="minor"/>
      </rPr>
      <t>CV,XE</t>
    </r>
  </si>
  <si>
    <r>
      <t>Y</t>
    </r>
    <r>
      <rPr>
        <vertAlign val="subscript"/>
        <sz val="11"/>
        <rFont val="Calibri"/>
        <family val="2"/>
        <scheme val="minor"/>
      </rPr>
      <t>BOD,ult</t>
    </r>
  </si>
  <si>
    <r>
      <t>f</t>
    </r>
    <r>
      <rPr>
        <vertAlign val="subscript"/>
        <sz val="11"/>
        <rFont val="Calibri"/>
        <family val="2"/>
        <scheme val="minor"/>
      </rPr>
      <t>S,BOD5,BODult</t>
    </r>
  </si>
  <si>
    <r>
      <t>f</t>
    </r>
    <r>
      <rPr>
        <vertAlign val="subscript"/>
        <sz val="11"/>
        <rFont val="Calibri"/>
        <family val="2"/>
        <scheme val="minor"/>
      </rPr>
      <t>C,BOD5,BODult</t>
    </r>
  </si>
  <si>
    <r>
      <t>f</t>
    </r>
    <r>
      <rPr>
        <vertAlign val="subscript"/>
        <sz val="11"/>
        <rFont val="Calibri"/>
        <family val="2"/>
        <scheme val="minor"/>
      </rPr>
      <t>X,BOD5,BODult</t>
    </r>
  </si>
  <si>
    <r>
      <t>fr</t>
    </r>
    <r>
      <rPr>
        <vertAlign val="subscript"/>
        <sz val="11"/>
        <rFont val="Calibri"/>
        <family val="2"/>
        <scheme val="minor"/>
      </rPr>
      <t>XAHO,XOHO</t>
    </r>
  </si>
  <si>
    <r>
      <t>fr</t>
    </r>
    <r>
      <rPr>
        <vertAlign val="subscript"/>
        <sz val="11"/>
        <rFont val="Calibri"/>
        <family val="2"/>
        <scheme val="minor"/>
      </rPr>
      <t>SB,mono,SB</t>
    </r>
  </si>
  <si>
    <t>P content of AHO</t>
  </si>
  <si>
    <t>Aged P-bound hydrous ferric oxide, high surface (HFO,H,P,old)</t>
  </si>
  <si>
    <t>Aged P-bound hydrous ferric oxide, low surface (HFO,L,P,old)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</si>
</sst>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"/>
    <numFmt numFmtId="166" formatCode="0.000000"/>
    <numFmt numFmtId="167" formatCode="0.000"/>
    <numFmt numFmtId="168" formatCode="0.0%"/>
  </numFmts>
  <fonts count="63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00B050"/>
      <name val="Calibri"/>
      <family val="2"/>
    </font>
    <font>
      <sz val="11"/>
      <color indexed="8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11"/>
      <color indexed="8"/>
      <name val="Calibri"/>
      <family val="2"/>
      <scheme val="minor"/>
    </font>
    <font>
      <vertAlign val="subscript"/>
      <sz val="11"/>
      <color indexed="8"/>
      <name val="Calibri"/>
      <family val="2"/>
    </font>
    <font>
      <b/>
      <sz val="11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4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4"/>
      <name val="Calibri"/>
      <family val="2"/>
    </font>
    <font>
      <sz val="11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rgb="FFFF0000"/>
      <name val="Calibri"/>
      <family val="2"/>
    </font>
    <font>
      <b/>
      <i/>
      <sz val="11"/>
      <color theme="4" tint="-0.249977111117893"/>
      <name val="Calibri"/>
      <family val="2"/>
    </font>
    <font>
      <b/>
      <i/>
      <sz val="11"/>
      <color rgb="FF0070C0"/>
      <name val="Calibri"/>
      <family val="2"/>
    </font>
    <font>
      <vertAlign val="subscript"/>
      <sz val="11"/>
      <color indexed="8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indexed="8"/>
      <name val="Calibri"/>
      <family val="2"/>
    </font>
    <font>
      <b/>
      <sz val="14"/>
      <color theme="4"/>
      <name val="Calibri"/>
      <family val="2"/>
    </font>
    <font>
      <b/>
      <sz val="14"/>
      <color rgb="FF00B050"/>
      <name val="Calibri"/>
      <family val="2"/>
    </font>
    <font>
      <b/>
      <sz val="14"/>
      <color indexed="8"/>
      <name val="Calibri"/>
      <family val="2"/>
    </font>
    <font>
      <b/>
      <sz val="14"/>
      <color theme="0" tint="-0.34998626667073579"/>
      <name val="Calibri"/>
      <family val="2"/>
    </font>
    <font>
      <u/>
      <sz val="11"/>
      <color theme="10"/>
      <name val="Calibri"/>
      <family val="2"/>
      <scheme val="minor"/>
    </font>
    <font>
      <vertAlign val="subscript"/>
      <sz val="11"/>
      <name val="Calibri"/>
      <family val="2"/>
      <charset val="238"/>
      <scheme val="minor"/>
    </font>
    <font>
      <vertAlign val="subscript"/>
      <sz val="11"/>
      <name val="Calibri"/>
      <family val="2"/>
    </font>
    <font>
      <vertAlign val="subscript"/>
      <sz val="12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09">
    <xf numFmtId="0" fontId="0" fillId="0" borderId="0"/>
    <xf numFmtId="0" fontId="15" fillId="0" borderId="0"/>
    <xf numFmtId="0" fontId="14" fillId="0" borderId="0"/>
    <xf numFmtId="9" fontId="3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58" fillId="0" borderId="0" applyNumberFormat="0" applyFill="0" applyBorder="0" applyAlignment="0" applyProtection="0"/>
  </cellStyleXfs>
  <cellXfs count="546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65" fontId="26" fillId="0" borderId="0" xfId="2" applyNumberFormat="1" applyFont="1"/>
    <xf numFmtId="165" fontId="14" fillId="0" borderId="0" xfId="2" applyNumberFormat="1"/>
    <xf numFmtId="165" fontId="14" fillId="0" borderId="0" xfId="2" applyNumberFormat="1" applyAlignment="1">
      <alignment horizontal="center" vertical="center"/>
    </xf>
    <xf numFmtId="0" fontId="14" fillId="0" borderId="0" xfId="2" applyAlignment="1">
      <alignment horizontal="center" vertical="center"/>
    </xf>
    <xf numFmtId="0" fontId="14" fillId="0" borderId="0" xfId="2"/>
    <xf numFmtId="0" fontId="16" fillId="0" borderId="0" xfId="2" applyFont="1"/>
    <xf numFmtId="165" fontId="16" fillId="0" borderId="0" xfId="2" applyNumberFormat="1" applyFont="1"/>
    <xf numFmtId="165" fontId="14" fillId="0" borderId="0" xfId="2" applyNumberFormat="1" applyAlignment="1">
      <alignment horizontal="right"/>
    </xf>
    <xf numFmtId="0" fontId="25" fillId="0" borderId="0" xfId="2" applyFont="1"/>
    <xf numFmtId="165" fontId="14" fillId="0" borderId="0" xfId="2" applyNumberFormat="1" applyAlignment="1">
      <alignment horizontal="left" vertical="center"/>
    </xf>
    <xf numFmtId="0" fontId="14" fillId="0" borderId="0" xfId="2" applyAlignment="1">
      <alignment horizontal="left" vertical="center"/>
    </xf>
    <xf numFmtId="165" fontId="14" fillId="0" borderId="12" xfId="2" applyNumberFormat="1" applyBorder="1"/>
    <xf numFmtId="166" fontId="14" fillId="0" borderId="13" xfId="2" applyNumberFormat="1" applyBorder="1" applyAlignment="1">
      <alignment horizontal="center" vertical="center"/>
    </xf>
    <xf numFmtId="165" fontId="14" fillId="0" borderId="13" xfId="2" applyNumberFormat="1" applyBorder="1" applyAlignment="1">
      <alignment horizontal="left" vertical="center"/>
    </xf>
    <xf numFmtId="165" fontId="14" fillId="0" borderId="13" xfId="2" applyNumberFormat="1" applyBorder="1" applyAlignment="1">
      <alignment horizontal="center" vertical="center"/>
    </xf>
    <xf numFmtId="164" fontId="14" fillId="0" borderId="13" xfId="2" applyNumberFormat="1" applyBorder="1" applyAlignment="1">
      <alignment horizontal="center" vertical="center"/>
    </xf>
    <xf numFmtId="0" fontId="14" fillId="0" borderId="13" xfId="2" applyBorder="1" applyAlignment="1">
      <alignment horizontal="center" vertical="center"/>
    </xf>
    <xf numFmtId="164" fontId="14" fillId="0" borderId="14" xfId="2" applyNumberFormat="1" applyBorder="1" applyAlignment="1">
      <alignment horizontal="center" vertical="center"/>
    </xf>
    <xf numFmtId="165" fontId="14" fillId="0" borderId="0" xfId="2" applyNumberFormat="1" applyAlignment="1">
      <alignment horizontal="center"/>
    </xf>
    <xf numFmtId="165" fontId="14" fillId="2" borderId="0" xfId="2" applyNumberFormat="1" applyFill="1" applyAlignment="1">
      <alignment horizontal="center" vertical="center"/>
    </xf>
    <xf numFmtId="0" fontId="14" fillId="2" borderId="0" xfId="2" applyFill="1" applyAlignment="1">
      <alignment horizontal="center" vertical="center"/>
    </xf>
    <xf numFmtId="167" fontId="14" fillId="2" borderId="0" xfId="2" applyNumberFormat="1" applyFill="1" applyAlignment="1">
      <alignment horizontal="center" vertical="center"/>
    </xf>
    <xf numFmtId="0" fontId="16" fillId="3" borderId="7" xfId="1" applyFont="1" applyFill="1" applyBorder="1" applyAlignment="1">
      <alignment horizontal="center" vertical="center" wrapText="1"/>
    </xf>
    <xf numFmtId="164" fontId="28" fillId="0" borderId="7" xfId="1" applyNumberFormat="1" applyFont="1" applyFill="1" applyBorder="1" applyAlignment="1" applyProtection="1">
      <alignment horizontal="center" vertical="center"/>
      <protection locked="0"/>
    </xf>
    <xf numFmtId="164" fontId="40" fillId="0" borderId="7" xfId="1" applyNumberFormat="1" applyFont="1" applyFill="1" applyBorder="1" applyAlignment="1" applyProtection="1">
      <alignment horizontal="center" vertical="center"/>
      <protection locked="0"/>
    </xf>
    <xf numFmtId="164" fontId="28" fillId="0" borderId="10" xfId="1" applyNumberFormat="1" applyFont="1" applyFill="1" applyBorder="1" applyAlignment="1" applyProtection="1">
      <alignment horizontal="center" vertical="center"/>
      <protection locked="0"/>
    </xf>
    <xf numFmtId="164" fontId="28" fillId="0" borderId="7" xfId="1" applyNumberFormat="1" applyFont="1" applyBorder="1" applyAlignment="1" applyProtection="1">
      <alignment horizontal="center" vertical="center"/>
      <protection locked="0"/>
    </xf>
    <xf numFmtId="164" fontId="28" fillId="0" borderId="10" xfId="1" applyNumberFormat="1" applyFont="1" applyBorder="1" applyAlignment="1" applyProtection="1">
      <alignment horizontal="center" vertical="center"/>
      <protection locked="0"/>
    </xf>
    <xf numFmtId="0" fontId="11" fillId="0" borderId="0" xfId="2" applyFont="1"/>
    <xf numFmtId="165" fontId="14" fillId="0" borderId="0" xfId="2" applyNumberFormat="1" applyAlignment="1">
      <alignment horizontal="left"/>
    </xf>
    <xf numFmtId="164" fontId="34" fillId="0" borderId="0" xfId="2" applyNumberFormat="1" applyFont="1" applyAlignment="1" applyProtection="1">
      <alignment horizontal="center" vertical="center"/>
      <protection locked="0"/>
    </xf>
    <xf numFmtId="0" fontId="20" fillId="3" borderId="6" xfId="1" applyFont="1" applyFill="1" applyBorder="1" applyAlignment="1">
      <alignment horizontal="left" vertical="center" wrapText="1"/>
    </xf>
    <xf numFmtId="0" fontId="20" fillId="3" borderId="23" xfId="1" applyFont="1" applyFill="1" applyBorder="1" applyAlignment="1">
      <alignment horizontal="left" vertical="center" wrapText="1"/>
    </xf>
    <xf numFmtId="164" fontId="29" fillId="3" borderId="5" xfId="0" applyNumberFormat="1" applyFont="1" applyFill="1" applyBorder="1" applyAlignment="1">
      <alignment horizontal="center" vertical="center"/>
    </xf>
    <xf numFmtId="168" fontId="29" fillId="3" borderId="21" xfId="3" applyNumberFormat="1" applyFont="1" applyFill="1" applyBorder="1" applyAlignment="1">
      <alignment horizontal="center" vertical="center"/>
    </xf>
    <xf numFmtId="164" fontId="29" fillId="3" borderId="7" xfId="0" applyNumberFormat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left" vertical="center" wrapText="1"/>
    </xf>
    <xf numFmtId="2" fontId="29" fillId="3" borderId="10" xfId="0" applyNumberFormat="1" applyFont="1" applyFill="1" applyBorder="1" applyAlignment="1">
      <alignment horizontal="center" vertical="center"/>
    </xf>
    <xf numFmtId="10" fontId="29" fillId="3" borderId="22" xfId="3" applyNumberFormat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left" vertical="center" wrapText="1"/>
    </xf>
    <xf numFmtId="164" fontId="29" fillId="3" borderId="3" xfId="0" applyNumberFormat="1" applyFont="1" applyFill="1" applyBorder="1" applyAlignment="1">
      <alignment horizontal="center" vertical="center"/>
    </xf>
    <xf numFmtId="168" fontId="29" fillId="3" borderId="4" xfId="3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/>
    </xf>
    <xf numFmtId="164" fontId="18" fillId="3" borderId="7" xfId="0" applyNumberFormat="1" applyFont="1" applyFill="1" applyBorder="1" applyAlignment="1">
      <alignment horizontal="center" vertical="center"/>
    </xf>
    <xf numFmtId="164" fontId="18" fillId="3" borderId="8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164" fontId="18" fillId="3" borderId="10" xfId="0" applyNumberFormat="1" applyFont="1" applyFill="1" applyBorder="1" applyAlignment="1">
      <alignment horizontal="center" vertical="center"/>
    </xf>
    <xf numFmtId="164" fontId="18" fillId="3" borderId="11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6" fillId="3" borderId="8" xfId="1" applyFont="1" applyFill="1" applyBorder="1" applyAlignment="1">
      <alignment horizontal="center" vertical="center" wrapText="1"/>
    </xf>
    <xf numFmtId="0" fontId="16" fillId="3" borderId="10" xfId="1" applyFont="1" applyFill="1" applyBorder="1" applyAlignment="1">
      <alignment horizontal="center" vertical="center" wrapText="1"/>
    </xf>
    <xf numFmtId="0" fontId="16" fillId="3" borderId="11" xfId="1" applyFont="1" applyFill="1" applyBorder="1" applyAlignment="1">
      <alignment horizontal="center" vertical="center" wrapText="1"/>
    </xf>
    <xf numFmtId="164" fontId="34" fillId="0" borderId="7" xfId="1" applyNumberFormat="1" applyFont="1" applyFill="1" applyBorder="1" applyAlignment="1" applyProtection="1">
      <alignment horizontal="center" vertical="center"/>
      <protection locked="0"/>
    </xf>
    <xf numFmtId="164" fontId="34" fillId="0" borderId="1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 vertical="center"/>
    </xf>
    <xf numFmtId="0" fontId="15" fillId="0" borderId="0" xfId="1" applyFont="1" applyAlignment="1" applyProtection="1">
      <alignment horizontal="center" vertical="center"/>
    </xf>
    <xf numFmtId="0" fontId="15" fillId="0" borderId="0" xfId="1" applyFont="1" applyProtection="1"/>
    <xf numFmtId="0" fontId="20" fillId="3" borderId="6" xfId="1" applyFont="1" applyFill="1" applyBorder="1" applyAlignment="1" applyProtection="1">
      <alignment horizontal="left" vertical="center"/>
    </xf>
    <xf numFmtId="164" fontId="20" fillId="3" borderId="7" xfId="1" applyNumberFormat="1" applyFont="1" applyFill="1" applyBorder="1" applyAlignment="1" applyProtection="1">
      <alignment horizontal="center" vertical="center"/>
    </xf>
    <xf numFmtId="0" fontId="20" fillId="3" borderId="8" xfId="1" applyFont="1" applyFill="1" applyBorder="1" applyAlignment="1" applyProtection="1">
      <alignment horizontal="center" vertical="center"/>
    </xf>
    <xf numFmtId="0" fontId="20" fillId="3" borderId="7" xfId="1" applyFont="1" applyFill="1" applyBorder="1" applyAlignment="1" applyProtection="1">
      <alignment horizontal="center" vertical="center"/>
    </xf>
    <xf numFmtId="0" fontId="15" fillId="0" borderId="0" xfId="1" applyProtection="1"/>
    <xf numFmtId="0" fontId="20" fillId="3" borderId="9" xfId="1" applyFont="1" applyFill="1" applyBorder="1" applyAlignment="1" applyProtection="1">
      <alignment horizontal="left" vertical="center"/>
    </xf>
    <xf numFmtId="0" fontId="20" fillId="3" borderId="10" xfId="1" quotePrefix="1" applyFont="1" applyFill="1" applyBorder="1" applyAlignment="1" applyProtection="1">
      <alignment horizontal="center" vertical="center"/>
    </xf>
    <xf numFmtId="0" fontId="20" fillId="3" borderId="11" xfId="1" applyFont="1" applyFill="1" applyBorder="1" applyAlignment="1" applyProtection="1">
      <alignment horizontal="center" vertical="center"/>
    </xf>
    <xf numFmtId="0" fontId="20" fillId="3" borderId="7" xfId="1" quotePrefix="1" applyFont="1" applyFill="1" applyBorder="1" applyAlignment="1" applyProtection="1">
      <alignment horizontal="center" vertical="center"/>
    </xf>
    <xf numFmtId="0" fontId="20" fillId="3" borderId="8" xfId="1" quotePrefix="1" applyFont="1" applyFill="1" applyBorder="1" applyAlignment="1" applyProtection="1">
      <alignment horizontal="center" vertical="center"/>
    </xf>
    <xf numFmtId="0" fontId="24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horizontal="center" vertical="center"/>
    </xf>
    <xf numFmtId="0" fontId="19" fillId="4" borderId="1" xfId="1" applyFont="1" applyFill="1" applyBorder="1" applyAlignment="1" applyProtection="1">
      <alignment horizontal="left" vertical="center"/>
    </xf>
    <xf numFmtId="0" fontId="20" fillId="3" borderId="6" xfId="1" applyFont="1" applyFill="1" applyBorder="1" applyAlignment="1" applyProtection="1">
      <alignment horizontal="left" vertical="center" wrapText="1"/>
    </xf>
    <xf numFmtId="0" fontId="14" fillId="0" borderId="0" xfId="1" applyFont="1" applyProtection="1"/>
    <xf numFmtId="0" fontId="21" fillId="3" borderId="6" xfId="1" applyFont="1" applyFill="1" applyBorder="1" applyAlignment="1" applyProtection="1">
      <alignment horizontal="left" vertical="center"/>
    </xf>
    <xf numFmtId="0" fontId="20" fillId="3" borderId="10" xfId="1" applyFont="1" applyFill="1" applyBorder="1" applyAlignment="1" applyProtection="1">
      <alignment horizontal="center" vertical="center"/>
    </xf>
    <xf numFmtId="0" fontId="15" fillId="3" borderId="7" xfId="1" applyFont="1" applyFill="1" applyBorder="1" applyAlignment="1" applyProtection="1">
      <alignment horizontal="center" vertical="center"/>
    </xf>
    <xf numFmtId="2" fontId="28" fillId="0" borderId="8" xfId="1" applyNumberFormat="1" applyFont="1" applyFill="1" applyBorder="1" applyAlignment="1" applyProtection="1">
      <alignment horizontal="center" vertical="center"/>
      <protection locked="0"/>
    </xf>
    <xf numFmtId="2" fontId="37" fillId="0" borderId="8" xfId="1" applyNumberFormat="1" applyFont="1" applyFill="1" applyBorder="1" applyAlignment="1" applyProtection="1">
      <alignment horizontal="center" vertical="center"/>
      <protection locked="0"/>
    </xf>
    <xf numFmtId="2" fontId="28" fillId="0" borderId="11" xfId="1" applyNumberFormat="1" applyFont="1" applyFill="1" applyBorder="1" applyAlignment="1" applyProtection="1">
      <alignment horizontal="center" vertical="center"/>
      <protection locked="0"/>
    </xf>
    <xf numFmtId="0" fontId="28" fillId="0" borderId="8" xfId="1" applyFont="1" applyFill="1" applyBorder="1" applyAlignment="1" applyProtection="1">
      <alignment horizontal="center" vertical="center"/>
      <protection locked="0"/>
    </xf>
    <xf numFmtId="0" fontId="28" fillId="0" borderId="11" xfId="1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13" fillId="0" borderId="0" xfId="1" applyFont="1" applyAlignment="1" applyProtection="1">
      <alignment horizontal="center" vertical="center"/>
    </xf>
    <xf numFmtId="0" fontId="19" fillId="4" borderId="16" xfId="1" applyFont="1" applyFill="1" applyBorder="1" applyAlignment="1" applyProtection="1">
      <alignment horizontal="center" vertical="center"/>
    </xf>
    <xf numFmtId="0" fontId="19" fillId="4" borderId="19" xfId="1" applyFont="1" applyFill="1" applyBorder="1" applyAlignment="1" applyProtection="1">
      <alignment horizontal="left" vertical="center"/>
    </xf>
    <xf numFmtId="0" fontId="19" fillId="4" borderId="18" xfId="1" applyNumberFormat="1" applyFont="1" applyFill="1" applyBorder="1" applyAlignment="1" applyProtection="1">
      <alignment horizontal="center" vertical="center" wrapText="1"/>
    </xf>
    <xf numFmtId="0" fontId="19" fillId="4" borderId="20" xfId="1" applyNumberFormat="1" applyFont="1" applyFill="1" applyBorder="1" applyAlignment="1" applyProtection="1">
      <alignment horizontal="center" vertical="center" wrapText="1"/>
    </xf>
    <xf numFmtId="2" fontId="20" fillId="3" borderId="7" xfId="1" applyNumberFormat="1" applyFont="1" applyFill="1" applyBorder="1" applyAlignment="1" applyProtection="1">
      <alignment horizontal="center" vertical="center"/>
    </xf>
    <xf numFmtId="0" fontId="20" fillId="3" borderId="15" xfId="1" applyFont="1" applyFill="1" applyBorder="1" applyAlignment="1" applyProtection="1">
      <alignment horizontal="left" vertical="center"/>
    </xf>
    <xf numFmtId="164" fontId="20" fillId="3" borderId="16" xfId="1" applyNumberFormat="1" applyFont="1" applyFill="1" applyBorder="1" applyAlignment="1" applyProtection="1">
      <alignment horizontal="center" vertical="center"/>
    </xf>
    <xf numFmtId="164" fontId="19" fillId="3" borderId="16" xfId="1" applyNumberFormat="1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164" fontId="19" fillId="3" borderId="7" xfId="1" applyNumberFormat="1" applyFont="1" applyFill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164" fontId="20" fillId="3" borderId="10" xfId="1" applyNumberFormat="1" applyFont="1" applyFill="1" applyBorder="1" applyAlignment="1" applyProtection="1">
      <alignment horizontal="center" vertical="center"/>
    </xf>
    <xf numFmtId="164" fontId="19" fillId="3" borderId="10" xfId="1" applyNumberFormat="1" applyFont="1" applyFill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2" fontId="20" fillId="3" borderId="10" xfId="1" applyNumberFormat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center" vertical="center"/>
    </xf>
    <xf numFmtId="0" fontId="28" fillId="0" borderId="0" xfId="1" applyFont="1" applyFill="1" applyBorder="1" applyAlignment="1" applyProtection="1">
      <alignment horizontal="center" vertical="center"/>
    </xf>
    <xf numFmtId="0" fontId="19" fillId="4" borderId="17" xfId="1" applyFont="1" applyFill="1" applyBorder="1" applyAlignment="1" applyProtection="1">
      <alignment horizontal="center" vertical="center"/>
    </xf>
    <xf numFmtId="0" fontId="20" fillId="3" borderId="6" xfId="1" applyFont="1" applyFill="1" applyBorder="1" applyAlignment="1" applyProtection="1">
      <alignment vertical="center"/>
    </xf>
    <xf numFmtId="0" fontId="15" fillId="3" borderId="6" xfId="1" applyFont="1" applyFill="1" applyBorder="1" applyAlignment="1" applyProtection="1">
      <alignment horizontal="center" vertical="center"/>
    </xf>
    <xf numFmtId="0" fontId="14" fillId="3" borderId="6" xfId="1" applyFont="1" applyFill="1" applyBorder="1" applyAlignment="1" applyProtection="1">
      <alignment horizontal="left" vertical="center"/>
    </xf>
    <xf numFmtId="2" fontId="19" fillId="3" borderId="7" xfId="1" applyNumberFormat="1" applyFont="1" applyFill="1" applyBorder="1" applyAlignment="1" applyProtection="1">
      <alignment horizontal="center" vertical="center"/>
    </xf>
    <xf numFmtId="2" fontId="15" fillId="3" borderId="8" xfId="1" applyNumberFormat="1" applyFont="1" applyFill="1" applyBorder="1" applyAlignment="1" applyProtection="1">
      <alignment horizontal="center" vertical="center"/>
    </xf>
    <xf numFmtId="0" fontId="11" fillId="3" borderId="6" xfId="1" applyFont="1" applyFill="1" applyBorder="1" applyAlignment="1" applyProtection="1">
      <alignment horizontal="left" vertical="center"/>
    </xf>
    <xf numFmtId="2" fontId="38" fillId="3" borderId="7" xfId="1" applyNumberFormat="1" applyFont="1" applyFill="1" applyBorder="1" applyAlignment="1" applyProtection="1">
      <alignment horizontal="center" vertical="center"/>
    </xf>
    <xf numFmtId="0" fontId="10" fillId="3" borderId="7" xfId="1" applyFont="1" applyFill="1" applyBorder="1" applyAlignment="1" applyProtection="1">
      <alignment horizontal="center" vertical="center"/>
    </xf>
    <xf numFmtId="0" fontId="39" fillId="3" borderId="6" xfId="1" applyFont="1" applyFill="1" applyBorder="1" applyAlignment="1" applyProtection="1">
      <alignment vertical="center"/>
    </xf>
    <xf numFmtId="0" fontId="39" fillId="3" borderId="8" xfId="1" applyFont="1" applyFill="1" applyBorder="1" applyAlignment="1" applyProtection="1">
      <alignment horizontal="center" vertical="center"/>
    </xf>
    <xf numFmtId="0" fontId="39" fillId="0" borderId="0" xfId="1" applyFont="1" applyFill="1" applyProtection="1"/>
    <xf numFmtId="0" fontId="39" fillId="3" borderId="6" xfId="1" applyFont="1" applyFill="1" applyBorder="1" applyAlignment="1" applyProtection="1">
      <alignment horizontal="left" vertical="center"/>
    </xf>
    <xf numFmtId="164" fontId="40" fillId="3" borderId="7" xfId="1" applyNumberFormat="1" applyFont="1" applyFill="1" applyBorder="1" applyAlignment="1" applyProtection="1">
      <alignment horizontal="center" vertical="center"/>
    </xf>
    <xf numFmtId="0" fontId="39" fillId="3" borderId="7" xfId="1" applyFont="1" applyFill="1" applyBorder="1" applyAlignment="1" applyProtection="1">
      <alignment horizontal="center" vertical="center"/>
    </xf>
    <xf numFmtId="2" fontId="39" fillId="3" borderId="8" xfId="1" applyNumberFormat="1" applyFont="1" applyFill="1" applyBorder="1" applyAlignment="1" applyProtection="1">
      <alignment horizontal="center" vertical="center"/>
    </xf>
    <xf numFmtId="0" fontId="15" fillId="3" borderId="6" xfId="1" applyFont="1" applyFill="1" applyBorder="1" applyAlignment="1" applyProtection="1">
      <alignment horizontal="left" vertical="center"/>
    </xf>
    <xf numFmtId="0" fontId="39" fillId="0" borderId="0" xfId="1" applyFont="1" applyProtection="1"/>
    <xf numFmtId="2" fontId="40" fillId="3" borderId="7" xfId="1" applyNumberFormat="1" applyFont="1" applyFill="1" applyBorder="1" applyAlignment="1" applyProtection="1">
      <alignment horizontal="center" vertical="center"/>
    </xf>
    <xf numFmtId="0" fontId="14" fillId="3" borderId="7" xfId="1" applyFont="1" applyFill="1" applyBorder="1" applyAlignment="1" applyProtection="1">
      <alignment horizontal="center" vertical="center"/>
    </xf>
    <xf numFmtId="2" fontId="12" fillId="3" borderId="8" xfId="1" quotePrefix="1" applyNumberFormat="1" applyFont="1" applyFill="1" applyBorder="1" applyAlignment="1" applyProtection="1">
      <alignment horizontal="center" vertical="center"/>
    </xf>
    <xf numFmtId="0" fontId="20" fillId="3" borderId="9" xfId="1" applyFont="1" applyFill="1" applyBorder="1" applyAlignment="1" applyProtection="1">
      <alignment vertical="center"/>
    </xf>
    <xf numFmtId="0" fontId="24" fillId="0" borderId="0" xfId="1" applyFont="1" applyFill="1" applyBorder="1" applyAlignment="1" applyProtection="1">
      <alignment vertical="center"/>
    </xf>
    <xf numFmtId="2" fontId="15" fillId="3" borderId="17" xfId="1" applyNumberFormat="1" applyFont="1" applyFill="1" applyBorder="1" applyAlignment="1" applyProtection="1">
      <alignment horizontal="center" vertical="center"/>
    </xf>
    <xf numFmtId="2" fontId="15" fillId="3" borderId="7" xfId="1" applyNumberFormat="1" applyFont="1" applyFill="1" applyBorder="1" applyAlignment="1" applyProtection="1">
      <alignment horizontal="center" vertical="center"/>
    </xf>
    <xf numFmtId="164" fontId="15" fillId="3" borderId="8" xfId="1" applyNumberFormat="1" applyFont="1" applyFill="1" applyBorder="1" applyAlignment="1" applyProtection="1">
      <alignment horizontal="center" vertical="center"/>
    </xf>
    <xf numFmtId="0" fontId="14" fillId="3" borderId="8" xfId="1" applyFont="1" applyFill="1" applyBorder="1" applyAlignment="1" applyProtection="1">
      <alignment horizontal="center" vertical="center"/>
    </xf>
    <xf numFmtId="0" fontId="14" fillId="3" borderId="11" xfId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17" fillId="3" borderId="2" xfId="0" applyFont="1" applyFill="1" applyBorder="1" applyAlignment="1">
      <alignment vertical="center"/>
    </xf>
    <xf numFmtId="164" fontId="42" fillId="0" borderId="7" xfId="1" applyNumberFormat="1" applyFont="1" applyFill="1" applyBorder="1" applyAlignment="1" applyProtection="1">
      <alignment horizontal="center" vertical="center"/>
      <protection locked="0"/>
    </xf>
    <xf numFmtId="164" fontId="42" fillId="0" borderId="10" xfId="1" applyNumberFormat="1" applyFont="1" applyFill="1" applyBorder="1" applyAlignment="1" applyProtection="1">
      <alignment horizontal="center" vertical="center"/>
      <protection locked="0"/>
    </xf>
    <xf numFmtId="0" fontId="20" fillId="4" borderId="7" xfId="1" applyNumberFormat="1" applyFont="1" applyFill="1" applyBorder="1" applyAlignment="1" applyProtection="1">
      <alignment horizontal="center" vertical="center" wrapText="1"/>
    </xf>
    <xf numFmtId="0" fontId="19" fillId="4" borderId="19" xfId="1" applyNumberFormat="1" applyFont="1" applyFill="1" applyBorder="1" applyAlignment="1" applyProtection="1">
      <alignment horizontal="left" vertical="center" wrapText="1"/>
    </xf>
    <xf numFmtId="0" fontId="20" fillId="4" borderId="16" xfId="1" applyNumberFormat="1" applyFont="1" applyFill="1" applyBorder="1" applyAlignment="1" applyProtection="1">
      <alignment horizontal="center" vertical="center" wrapText="1"/>
    </xf>
    <xf numFmtId="0" fontId="20" fillId="4" borderId="17" xfId="1" applyNumberFormat="1" applyFont="1" applyFill="1" applyBorder="1" applyAlignment="1" applyProtection="1">
      <alignment horizontal="center" vertical="center" wrapText="1"/>
    </xf>
    <xf numFmtId="0" fontId="20" fillId="4" borderId="8" xfId="1" applyNumberFormat="1" applyFont="1" applyFill="1" applyBorder="1" applyAlignment="1" applyProtection="1">
      <alignment horizontal="center" vertical="center" wrapText="1"/>
    </xf>
    <xf numFmtId="0" fontId="20" fillId="4" borderId="10" xfId="1" applyNumberFormat="1" applyFont="1" applyFill="1" applyBorder="1" applyAlignment="1" applyProtection="1">
      <alignment horizontal="center" vertical="center" wrapText="1"/>
    </xf>
    <xf numFmtId="0" fontId="20" fillId="4" borderId="11" xfId="1" applyNumberFormat="1" applyFont="1" applyFill="1" applyBorder="1" applyAlignment="1" applyProtection="1">
      <alignment horizontal="center" vertical="center" wrapText="1"/>
    </xf>
    <xf numFmtId="0" fontId="19" fillId="4" borderId="19" xfId="1" applyFont="1" applyFill="1" applyBorder="1" applyProtection="1"/>
    <xf numFmtId="0" fontId="20" fillId="3" borderId="15" xfId="1" applyFont="1" applyFill="1" applyBorder="1" applyAlignment="1" applyProtection="1">
      <alignment vertical="center"/>
    </xf>
    <xf numFmtId="164" fontId="28" fillId="0" borderId="16" xfId="1" applyNumberFormat="1" applyFont="1" applyFill="1" applyBorder="1" applyAlignment="1" applyProtection="1">
      <alignment horizontal="center" vertical="center"/>
      <protection locked="0"/>
    </xf>
    <xf numFmtId="0" fontId="20" fillId="3" borderId="17" xfId="1" applyFont="1" applyFill="1" applyBorder="1" applyAlignment="1" applyProtection="1">
      <alignment horizontal="center" vertical="center"/>
    </xf>
    <xf numFmtId="0" fontId="12" fillId="3" borderId="6" xfId="1" applyFont="1" applyFill="1" applyBorder="1" applyProtection="1"/>
    <xf numFmtId="0" fontId="20" fillId="3" borderId="9" xfId="1" applyFont="1" applyFill="1" applyBorder="1" applyAlignment="1" applyProtection="1">
      <alignment horizontal="left" vertical="center" wrapText="1"/>
    </xf>
    <xf numFmtId="0" fontId="11" fillId="3" borderId="15" xfId="1" applyFont="1" applyFill="1" applyBorder="1" applyAlignment="1" applyProtection="1">
      <alignment horizontal="left" vertical="center"/>
    </xf>
    <xf numFmtId="0" fontId="20" fillId="3" borderId="16" xfId="1" applyFont="1" applyFill="1" applyBorder="1" applyAlignment="1" applyProtection="1">
      <alignment horizontal="center" vertical="center"/>
    </xf>
    <xf numFmtId="164" fontId="34" fillId="0" borderId="16" xfId="1" applyNumberFormat="1" applyFont="1" applyFill="1" applyBorder="1" applyAlignment="1" applyProtection="1">
      <alignment horizontal="center" vertical="center"/>
      <protection locked="0"/>
    </xf>
    <xf numFmtId="0" fontId="19" fillId="4" borderId="18" xfId="1" applyFont="1" applyFill="1" applyBorder="1" applyAlignment="1" applyProtection="1">
      <alignment horizontal="center" vertical="center"/>
    </xf>
    <xf numFmtId="2" fontId="20" fillId="3" borderId="16" xfId="1" applyNumberFormat="1" applyFont="1" applyFill="1" applyBorder="1" applyAlignment="1" applyProtection="1">
      <alignment horizontal="center" vertical="center"/>
    </xf>
    <xf numFmtId="0" fontId="37" fillId="0" borderId="17" xfId="1" applyFont="1" applyFill="1" applyBorder="1" applyAlignment="1" applyProtection="1">
      <alignment horizontal="center" vertical="center"/>
      <protection locked="0"/>
    </xf>
    <xf numFmtId="0" fontId="10" fillId="3" borderId="6" xfId="1" applyFont="1" applyFill="1" applyBorder="1" applyAlignment="1" applyProtection="1">
      <alignment horizontal="left" vertical="center"/>
    </xf>
    <xf numFmtId="165" fontId="8" fillId="0" borderId="0" xfId="2" applyNumberFormat="1" applyFont="1" applyAlignment="1">
      <alignment horizontal="center"/>
    </xf>
    <xf numFmtId="165" fontId="8" fillId="2" borderId="0" xfId="2" applyNumberFormat="1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164" fontId="14" fillId="2" borderId="0" xfId="2" applyNumberFormat="1" applyFill="1" applyAlignment="1">
      <alignment horizontal="center"/>
    </xf>
    <xf numFmtId="0" fontId="20" fillId="3" borderId="27" xfId="1" applyFont="1" applyFill="1" applyBorder="1" applyAlignment="1" applyProtection="1">
      <alignment horizontal="left" vertical="center"/>
    </xf>
    <xf numFmtId="0" fontId="20" fillId="3" borderId="23" xfId="1" applyFont="1" applyFill="1" applyBorder="1" applyAlignment="1" applyProtection="1">
      <alignment horizontal="left" vertical="center"/>
    </xf>
    <xf numFmtId="164" fontId="34" fillId="0" borderId="5" xfId="1" applyNumberFormat="1" applyFont="1" applyFill="1" applyBorder="1" applyAlignment="1" applyProtection="1">
      <alignment horizontal="center" vertical="center"/>
      <protection locked="0"/>
    </xf>
    <xf numFmtId="0" fontId="20" fillId="3" borderId="5" xfId="1" applyFont="1" applyFill="1" applyBorder="1" applyAlignment="1" applyProtection="1">
      <alignment horizontal="center" vertical="center"/>
    </xf>
    <xf numFmtId="0" fontId="20" fillId="3" borderId="21" xfId="1" applyFont="1" applyFill="1" applyBorder="1" applyAlignment="1" applyProtection="1">
      <alignment horizontal="center" vertical="center"/>
    </xf>
    <xf numFmtId="0" fontId="15" fillId="0" borderId="0" xfId="1" applyFont="1" applyFill="1" applyBorder="1" applyProtection="1"/>
    <xf numFmtId="164" fontId="34" fillId="0" borderId="0" xfId="1" applyNumberFormat="1" applyFont="1" applyFill="1" applyBorder="1" applyAlignment="1" applyProtection="1">
      <alignment horizontal="center" vertical="center"/>
      <protection locked="0"/>
    </xf>
    <xf numFmtId="0" fontId="19" fillId="4" borderId="29" xfId="1" applyFont="1" applyFill="1" applyBorder="1" applyAlignment="1" applyProtection="1">
      <alignment horizontal="left" vertical="center"/>
    </xf>
    <xf numFmtId="164" fontId="20" fillId="3" borderId="5" xfId="1" applyNumberFormat="1" applyFont="1" applyFill="1" applyBorder="1" applyAlignment="1" applyProtection="1">
      <alignment horizontal="center" vertical="center"/>
    </xf>
    <xf numFmtId="0" fontId="19" fillId="4" borderId="2" xfId="1" applyFont="1" applyFill="1" applyBorder="1" applyAlignment="1" applyProtection="1">
      <alignment horizontal="left" vertical="center"/>
    </xf>
    <xf numFmtId="0" fontId="19" fillId="4" borderId="3" xfId="1" applyNumberFormat="1" applyFont="1" applyFill="1" applyBorder="1" applyAlignment="1" applyProtection="1">
      <alignment horizontal="center" vertical="center" wrapText="1"/>
    </xf>
    <xf numFmtId="0" fontId="19" fillId="4" borderId="4" xfId="1" applyNumberFormat="1" applyFont="1" applyFill="1" applyBorder="1" applyAlignment="1" applyProtection="1">
      <alignment horizontal="center" vertical="center" wrapText="1"/>
    </xf>
    <xf numFmtId="0" fontId="20" fillId="3" borderId="16" xfId="1" quotePrefix="1" applyFont="1" applyFill="1" applyBorder="1" applyAlignment="1" applyProtection="1">
      <alignment horizontal="center" vertical="center"/>
    </xf>
    <xf numFmtId="0" fontId="20" fillId="3" borderId="17" xfId="1" quotePrefix="1" applyFont="1" applyFill="1" applyBorder="1" applyAlignment="1" applyProtection="1">
      <alignment horizontal="center" vertical="center"/>
    </xf>
    <xf numFmtId="0" fontId="20" fillId="3" borderId="11" xfId="1" quotePrefix="1" applyFont="1" applyFill="1" applyBorder="1" applyAlignment="1" applyProtection="1">
      <alignment horizontal="center" vertical="center"/>
    </xf>
    <xf numFmtId="164" fontId="42" fillId="0" borderId="5" xfId="1" applyNumberFormat="1" applyFont="1" applyFill="1" applyBorder="1" applyAlignment="1" applyProtection="1">
      <alignment horizontal="center" vertical="center"/>
      <protection locked="0"/>
    </xf>
    <xf numFmtId="0" fontId="19" fillId="4" borderId="2" xfId="1" applyNumberFormat="1" applyFont="1" applyFill="1" applyBorder="1" applyAlignment="1" applyProtection="1">
      <alignment horizontal="left" vertical="center" wrapText="1"/>
    </xf>
    <xf numFmtId="0" fontId="20" fillId="3" borderId="27" xfId="1" applyFont="1" applyFill="1" applyBorder="1" applyAlignment="1" applyProtection="1">
      <alignment horizontal="left" vertical="center" wrapText="1"/>
    </xf>
    <xf numFmtId="164" fontId="28" fillId="0" borderId="28" xfId="1" applyNumberFormat="1" applyFont="1" applyBorder="1" applyAlignment="1" applyProtection="1">
      <alignment horizontal="center" vertical="center"/>
      <protection locked="0"/>
    </xf>
    <xf numFmtId="164" fontId="19" fillId="0" borderId="0" xfId="1" applyNumberFormat="1" applyFont="1" applyFill="1" applyBorder="1" applyAlignment="1" applyProtection="1">
      <alignment horizontal="center" vertical="center"/>
    </xf>
    <xf numFmtId="0" fontId="11" fillId="0" borderId="0" xfId="1" quotePrefix="1" applyFont="1" applyFill="1" applyBorder="1" applyAlignment="1" applyProtection="1">
      <alignment horizontal="center" vertical="center"/>
    </xf>
    <xf numFmtId="0" fontId="19" fillId="4" borderId="2" xfId="1" applyFont="1" applyFill="1" applyBorder="1" applyProtection="1"/>
    <xf numFmtId="0" fontId="19" fillId="4" borderId="3" xfId="1" applyFont="1" applyFill="1" applyBorder="1" applyAlignment="1" applyProtection="1">
      <alignment horizontal="center" vertical="center"/>
    </xf>
    <xf numFmtId="0" fontId="19" fillId="4" borderId="4" xfId="1" applyFont="1" applyFill="1" applyBorder="1" applyAlignment="1" applyProtection="1">
      <alignment horizontal="center" vertical="center"/>
    </xf>
    <xf numFmtId="0" fontId="20" fillId="3" borderId="23" xfId="1" applyFont="1" applyFill="1" applyBorder="1" applyAlignment="1" applyProtection="1">
      <alignment vertical="center"/>
    </xf>
    <xf numFmtId="164" fontId="28" fillId="0" borderId="5" xfId="1" applyNumberFormat="1" applyFont="1" applyFill="1" applyBorder="1" applyAlignment="1" applyProtection="1">
      <alignment horizontal="center" vertical="center"/>
      <protection locked="0"/>
    </xf>
    <xf numFmtId="0" fontId="15" fillId="3" borderId="23" xfId="1" applyFont="1" applyFill="1" applyBorder="1" applyAlignment="1" applyProtection="1">
      <alignment horizontal="center" vertical="center"/>
    </xf>
    <xf numFmtId="0" fontId="15" fillId="3" borderId="5" xfId="1" applyFont="1" applyFill="1" applyBorder="1" applyAlignment="1" applyProtection="1">
      <alignment horizontal="center" vertical="center"/>
    </xf>
    <xf numFmtId="0" fontId="15" fillId="3" borderId="21" xfId="1" applyFont="1" applyFill="1" applyBorder="1" applyAlignment="1" applyProtection="1">
      <alignment horizontal="center" vertical="center"/>
    </xf>
    <xf numFmtId="0" fontId="19" fillId="4" borderId="2" xfId="1" applyFont="1" applyFill="1" applyBorder="1" applyAlignment="1" applyProtection="1">
      <alignment horizontal="center" vertical="center"/>
    </xf>
    <xf numFmtId="2" fontId="19" fillId="3" borderId="10" xfId="1" applyNumberFormat="1" applyFont="1" applyFill="1" applyBorder="1" applyAlignment="1" applyProtection="1">
      <alignment horizontal="center" vertical="center"/>
    </xf>
    <xf numFmtId="2" fontId="15" fillId="3" borderId="11" xfId="1" applyNumberFormat="1" applyFont="1" applyFill="1" applyBorder="1" applyAlignment="1" applyProtection="1">
      <alignment horizontal="center" vertical="center"/>
    </xf>
    <xf numFmtId="0" fontId="19" fillId="4" borderId="2" xfId="1" applyFont="1" applyFill="1" applyBorder="1" applyAlignment="1" applyProtection="1">
      <alignment vertical="center"/>
    </xf>
    <xf numFmtId="0" fontId="15" fillId="3" borderId="9" xfId="1" applyFont="1" applyFill="1" applyBorder="1" applyAlignment="1" applyProtection="1">
      <alignment horizontal="left" vertical="center"/>
    </xf>
    <xf numFmtId="0" fontId="15" fillId="3" borderId="10" xfId="1" applyFont="1" applyFill="1" applyBorder="1" applyAlignment="1" applyProtection="1">
      <alignment horizontal="center" vertical="center"/>
    </xf>
    <xf numFmtId="16" fontId="9" fillId="3" borderId="11" xfId="1" quotePrefix="1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19" fillId="3" borderId="19" xfId="1" applyFont="1" applyFill="1" applyBorder="1" applyAlignment="1">
      <alignment horizontal="left" vertical="center"/>
    </xf>
    <xf numFmtId="0" fontId="19" fillId="3" borderId="18" xfId="1" applyNumberFormat="1" applyFont="1" applyFill="1" applyBorder="1" applyAlignment="1">
      <alignment horizontal="center" vertical="center" wrapText="1"/>
    </xf>
    <xf numFmtId="0" fontId="19" fillId="3" borderId="20" xfId="1" applyNumberFormat="1" applyFont="1" applyFill="1" applyBorder="1" applyAlignment="1">
      <alignment horizontal="center" vertical="center" wrapText="1"/>
    </xf>
    <xf numFmtId="0" fontId="20" fillId="3" borderId="15" xfId="1" applyFont="1" applyFill="1" applyBorder="1" applyAlignment="1">
      <alignment horizontal="left" vertical="center" wrapText="1"/>
    </xf>
    <xf numFmtId="164" fontId="29" fillId="3" borderId="16" xfId="0" applyNumberFormat="1" applyFont="1" applyFill="1" applyBorder="1" applyAlignment="1">
      <alignment horizontal="center" vertical="center"/>
    </xf>
    <xf numFmtId="168" fontId="29" fillId="3" borderId="17" xfId="3" applyNumberFormat="1" applyFont="1" applyFill="1" applyBorder="1" applyAlignment="1">
      <alignment horizontal="center" vertical="center"/>
    </xf>
    <xf numFmtId="0" fontId="20" fillId="3" borderId="30" xfId="1" applyFont="1" applyFill="1" applyBorder="1" applyAlignment="1">
      <alignment horizontal="left" vertical="center" wrapText="1"/>
    </xf>
    <xf numFmtId="168" fontId="29" fillId="3" borderId="22" xfId="3" applyNumberFormat="1" applyFont="1" applyFill="1" applyBorder="1" applyAlignment="1">
      <alignment horizontal="center" vertical="center"/>
    </xf>
    <xf numFmtId="0" fontId="19" fillId="3" borderId="2" xfId="1" applyFont="1" applyFill="1" applyBorder="1" applyAlignment="1">
      <alignment horizontal="left" vertical="center"/>
    </xf>
    <xf numFmtId="0" fontId="19" fillId="3" borderId="3" xfId="1" applyNumberFormat="1" applyFont="1" applyFill="1" applyBorder="1" applyAlignment="1">
      <alignment horizontal="center" vertical="center" wrapText="1"/>
    </xf>
    <xf numFmtId="0" fontId="19" fillId="3" borderId="4" xfId="1" applyNumberFormat="1" applyFont="1" applyFill="1" applyBorder="1" applyAlignment="1">
      <alignment horizontal="center" vertical="center" wrapText="1"/>
    </xf>
    <xf numFmtId="0" fontId="7" fillId="3" borderId="6" xfId="1" applyFont="1" applyFill="1" applyBorder="1" applyAlignment="1" applyProtection="1">
      <alignment horizontal="left" vertical="center"/>
    </xf>
    <xf numFmtId="164" fontId="19" fillId="3" borderId="21" xfId="1" applyNumberFormat="1" applyFont="1" applyFill="1" applyBorder="1" applyAlignment="1" applyProtection="1">
      <alignment horizontal="center" vertical="center"/>
    </xf>
    <xf numFmtId="164" fontId="19" fillId="3" borderId="8" xfId="1" applyNumberFormat="1" applyFont="1" applyFill="1" applyBorder="1" applyAlignment="1" applyProtection="1">
      <alignment horizontal="center" vertical="center"/>
    </xf>
    <xf numFmtId="164" fontId="19" fillId="3" borderId="11" xfId="1" applyNumberFormat="1" applyFont="1" applyFill="1" applyBorder="1" applyAlignment="1" applyProtection="1">
      <alignment horizontal="center" vertical="center"/>
    </xf>
    <xf numFmtId="0" fontId="19" fillId="3" borderId="19" xfId="0" applyNumberFormat="1" applyFont="1" applyFill="1" applyBorder="1" applyAlignment="1">
      <alignment horizontal="left" vertical="center"/>
    </xf>
    <xf numFmtId="0" fontId="19" fillId="3" borderId="18" xfId="0" applyNumberFormat="1" applyFont="1" applyFill="1" applyBorder="1" applyAlignment="1">
      <alignment horizontal="center" vertical="center" wrapText="1"/>
    </xf>
    <xf numFmtId="0" fontId="19" fillId="3" borderId="20" xfId="0" applyNumberFormat="1" applyFont="1" applyFill="1" applyBorder="1" applyAlignment="1">
      <alignment horizontal="center" vertical="center" wrapText="1"/>
    </xf>
    <xf numFmtId="165" fontId="29" fillId="3" borderId="5" xfId="0" applyNumberFormat="1" applyFont="1" applyFill="1" applyBorder="1" applyAlignment="1">
      <alignment horizontal="center" vertical="center"/>
    </xf>
    <xf numFmtId="165" fontId="29" fillId="3" borderId="31" xfId="0" applyNumberFormat="1" applyFont="1" applyFill="1" applyBorder="1" applyAlignment="1">
      <alignment horizontal="center" vertical="center"/>
    </xf>
    <xf numFmtId="2" fontId="28" fillId="0" borderId="17" xfId="1" applyNumberFormat="1" applyFont="1" applyFill="1" applyBorder="1" applyAlignment="1" applyProtection="1">
      <alignment horizontal="center" vertical="center"/>
      <protection locked="0"/>
    </xf>
    <xf numFmtId="2" fontId="6" fillId="3" borderId="8" xfId="1" quotePrefix="1" applyNumberFormat="1" applyFont="1" applyFill="1" applyBorder="1" applyAlignment="1" applyProtection="1">
      <alignment horizontal="center" vertical="center"/>
    </xf>
    <xf numFmtId="164" fontId="28" fillId="0" borderId="0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vertical="center"/>
    </xf>
    <xf numFmtId="2" fontId="6" fillId="3" borderId="17" xfId="1" quotePrefix="1" applyNumberFormat="1" applyFont="1" applyFill="1" applyBorder="1" applyAlignment="1" applyProtection="1">
      <alignment horizontal="center" vertical="center"/>
    </xf>
    <xf numFmtId="0" fontId="15" fillId="0" borderId="0" xfId="3" applyNumberFormat="1" applyFont="1" applyProtection="1"/>
    <xf numFmtId="2" fontId="19" fillId="3" borderId="16" xfId="1" applyNumberFormat="1" applyFont="1" applyFill="1" applyBorder="1" applyAlignment="1" applyProtection="1">
      <alignment horizontal="center" vertical="center"/>
    </xf>
    <xf numFmtId="0" fontId="11" fillId="3" borderId="16" xfId="1" applyFont="1" applyFill="1" applyBorder="1" applyAlignment="1" applyProtection="1">
      <alignment horizontal="center" vertical="center"/>
    </xf>
    <xf numFmtId="0" fontId="6" fillId="3" borderId="9" xfId="1" applyFont="1" applyFill="1" applyBorder="1" applyAlignment="1" applyProtection="1">
      <alignment horizontal="left" vertical="center"/>
    </xf>
    <xf numFmtId="0" fontId="20" fillId="3" borderId="6" xfId="5" applyFont="1" applyFill="1" applyBorder="1" applyAlignment="1" applyProtection="1">
      <alignment horizontal="left" vertical="center"/>
    </xf>
    <xf numFmtId="0" fontId="20" fillId="3" borderId="9" xfId="5" applyFont="1" applyFill="1" applyBorder="1" applyAlignment="1" applyProtection="1">
      <alignment horizontal="left" vertical="center"/>
    </xf>
    <xf numFmtId="0" fontId="20" fillId="3" borderId="23" xfId="5" applyFont="1" applyFill="1" applyBorder="1" applyAlignment="1" applyProtection="1">
      <alignment horizontal="left" vertical="center"/>
    </xf>
    <xf numFmtId="0" fontId="21" fillId="3" borderId="6" xfId="0" applyNumberFormat="1" applyFont="1" applyFill="1" applyBorder="1" applyAlignment="1" applyProtection="1">
      <alignment horizontal="left" vertical="center" wrapText="1"/>
    </xf>
    <xf numFmtId="0" fontId="21" fillId="3" borderId="9" xfId="0" applyNumberFormat="1" applyFont="1" applyFill="1" applyBorder="1" applyAlignment="1" applyProtection="1">
      <alignment horizontal="left" vertical="center" wrapText="1"/>
    </xf>
    <xf numFmtId="0" fontId="21" fillId="3" borderId="15" xfId="0" applyNumberFormat="1" applyFont="1" applyFill="1" applyBorder="1" applyAlignment="1" applyProtection="1">
      <alignment horizontal="left" vertical="center" wrapText="1"/>
    </xf>
    <xf numFmtId="2" fontId="29" fillId="3" borderId="16" xfId="0" applyNumberFormat="1" applyFont="1" applyFill="1" applyBorder="1" applyAlignment="1">
      <alignment horizontal="center" vertical="center"/>
    </xf>
    <xf numFmtId="0" fontId="20" fillId="3" borderId="6" xfId="8" applyFont="1" applyFill="1" applyBorder="1" applyAlignment="1" applyProtection="1">
      <alignment horizontal="left" vertical="center"/>
    </xf>
    <xf numFmtId="0" fontId="20" fillId="3" borderId="15" xfId="8" applyFont="1" applyFill="1" applyBorder="1" applyAlignment="1" applyProtection="1">
      <alignment horizontal="left" vertical="center"/>
    </xf>
    <xf numFmtId="2" fontId="20" fillId="3" borderId="6" xfId="8" applyNumberFormat="1" applyFont="1" applyFill="1" applyBorder="1" applyAlignment="1" applyProtection="1">
      <alignment horizontal="left" vertical="center"/>
    </xf>
    <xf numFmtId="2" fontId="20" fillId="3" borderId="9" xfId="8" applyNumberFormat="1" applyFont="1" applyFill="1" applyBorder="1" applyAlignment="1" applyProtection="1">
      <alignment horizontal="left" vertical="center"/>
    </xf>
    <xf numFmtId="0" fontId="19" fillId="4" borderId="20" xfId="8" applyNumberFormat="1" applyFont="1" applyFill="1" applyBorder="1" applyAlignment="1" applyProtection="1">
      <alignment horizontal="center" vertical="center" wrapText="1"/>
    </xf>
    <xf numFmtId="0" fontId="11" fillId="3" borderId="15" xfId="1" applyFont="1" applyFill="1" applyBorder="1" applyAlignment="1">
      <alignment horizontal="left" vertical="center" wrapText="1"/>
    </xf>
    <xf numFmtId="0" fontId="0" fillId="0" borderId="0" xfId="0"/>
    <xf numFmtId="0" fontId="5" fillId="0" borderId="0" xfId="8" applyFont="1" applyAlignment="1" applyProtection="1">
      <alignment horizontal="left" vertical="center"/>
    </xf>
    <xf numFmtId="0" fontId="5" fillId="0" borderId="0" xfId="8" applyFont="1" applyAlignment="1" applyProtection="1">
      <alignment horizontal="center" vertical="center"/>
    </xf>
    <xf numFmtId="0" fontId="20" fillId="3" borderId="6" xfId="8" applyFont="1" applyFill="1" applyBorder="1" applyAlignment="1" applyProtection="1">
      <alignment horizontal="left" vertical="center"/>
    </xf>
    <xf numFmtId="0" fontId="20" fillId="3" borderId="8" xfId="8" applyFont="1" applyFill="1" applyBorder="1" applyAlignment="1" applyProtection="1">
      <alignment horizontal="center" vertical="center"/>
    </xf>
    <xf numFmtId="0" fontId="20" fillId="3" borderId="7" xfId="8" applyFont="1" applyFill="1" applyBorder="1" applyAlignment="1" applyProtection="1">
      <alignment horizontal="center" vertical="center"/>
    </xf>
    <xf numFmtId="0" fontId="20" fillId="3" borderId="15" xfId="8" applyFont="1" applyFill="1" applyBorder="1" applyAlignment="1" applyProtection="1">
      <alignment horizontal="left" vertical="center"/>
    </xf>
    <xf numFmtId="164" fontId="20" fillId="3" borderId="16" xfId="8" applyNumberFormat="1" applyFont="1" applyFill="1" applyBorder="1" applyAlignment="1" applyProtection="1">
      <alignment horizontal="center" vertical="center"/>
    </xf>
    <xf numFmtId="0" fontId="20" fillId="3" borderId="17" xfId="8" applyFont="1" applyFill="1" applyBorder="1" applyAlignment="1" applyProtection="1">
      <alignment horizontal="center" vertical="center"/>
    </xf>
    <xf numFmtId="0" fontId="20" fillId="3" borderId="23" xfId="8" applyFont="1" applyFill="1" applyBorder="1" applyAlignment="1" applyProtection="1">
      <alignment horizontal="left" vertical="center"/>
    </xf>
    <xf numFmtId="0" fontId="20" fillId="3" borderId="21" xfId="8" applyFont="1" applyFill="1" applyBorder="1" applyAlignment="1" applyProtection="1">
      <alignment horizontal="center" vertical="center"/>
    </xf>
    <xf numFmtId="0" fontId="19" fillId="4" borderId="29" xfId="8" applyFont="1" applyFill="1" applyBorder="1" applyAlignment="1" applyProtection="1">
      <alignment horizontal="left" vertical="center"/>
    </xf>
    <xf numFmtId="164" fontId="20" fillId="3" borderId="5" xfId="8" applyNumberFormat="1" applyFont="1" applyFill="1" applyBorder="1" applyAlignment="1" applyProtection="1">
      <alignment horizontal="center" vertical="center"/>
    </xf>
    <xf numFmtId="0" fontId="19" fillId="4" borderId="2" xfId="8" applyFont="1" applyFill="1" applyBorder="1" applyAlignment="1" applyProtection="1">
      <alignment horizontal="left" vertical="center"/>
    </xf>
    <xf numFmtId="0" fontId="19" fillId="4" borderId="3" xfId="8" applyNumberFormat="1" applyFont="1" applyFill="1" applyBorder="1" applyAlignment="1" applyProtection="1">
      <alignment horizontal="center" vertical="center" wrapText="1"/>
    </xf>
    <xf numFmtId="0" fontId="19" fillId="4" borderId="4" xfId="8" applyNumberFormat="1" applyFont="1" applyFill="1" applyBorder="1" applyAlignment="1" applyProtection="1">
      <alignment horizontal="center" vertical="center" wrapText="1"/>
    </xf>
    <xf numFmtId="0" fontId="20" fillId="3" borderId="30" xfId="8" applyFont="1" applyFill="1" applyBorder="1" applyAlignment="1" applyProtection="1">
      <alignment horizontal="left" vertical="center"/>
    </xf>
    <xf numFmtId="2" fontId="34" fillId="0" borderId="31" xfId="8" applyNumberFormat="1" applyFont="1" applyFill="1" applyBorder="1" applyAlignment="1" applyProtection="1">
      <alignment horizontal="center" vertical="center"/>
      <protection locked="0"/>
    </xf>
    <xf numFmtId="2" fontId="34" fillId="0" borderId="16" xfId="8" applyNumberFormat="1" applyFont="1" applyFill="1" applyBorder="1" applyAlignment="1" applyProtection="1">
      <alignment horizontal="center" vertical="center"/>
      <protection locked="0"/>
    </xf>
    <xf numFmtId="0" fontId="5" fillId="0" borderId="36" xfId="8" applyFont="1" applyBorder="1" applyAlignment="1" applyProtection="1">
      <alignment vertical="center"/>
    </xf>
    <xf numFmtId="2" fontId="34" fillId="0" borderId="5" xfId="8" applyNumberFormat="1" applyFont="1" applyFill="1" applyBorder="1" applyAlignment="1" applyProtection="1">
      <alignment horizontal="center" vertical="center"/>
      <protection locked="0"/>
    </xf>
    <xf numFmtId="0" fontId="5" fillId="0" borderId="35" xfId="8" applyFont="1" applyBorder="1" applyAlignment="1" applyProtection="1">
      <alignment vertical="center"/>
    </xf>
    <xf numFmtId="2" fontId="34" fillId="0" borderId="7" xfId="8" applyNumberFormat="1" applyFont="1" applyFill="1" applyBorder="1" applyAlignment="1" applyProtection="1">
      <alignment horizontal="center" vertical="center"/>
      <protection locked="0"/>
    </xf>
    <xf numFmtId="164" fontId="20" fillId="3" borderId="31" xfId="8" applyNumberFormat="1" applyFont="1" applyFill="1" applyBorder="1" applyAlignment="1" applyProtection="1">
      <alignment horizontal="center" vertical="center"/>
    </xf>
    <xf numFmtId="0" fontId="20" fillId="3" borderId="22" xfId="8" applyFont="1" applyFill="1" applyBorder="1" applyAlignment="1" applyProtection="1">
      <alignment horizontal="center" vertical="center"/>
    </xf>
    <xf numFmtId="0" fontId="20" fillId="3" borderId="6" xfId="8" applyFont="1" applyFill="1" applyBorder="1" applyAlignment="1" applyProtection="1">
      <alignment horizontal="left" vertical="center"/>
    </xf>
    <xf numFmtId="0" fontId="20" fillId="3" borderId="9" xfId="8" applyFont="1" applyFill="1" applyBorder="1" applyAlignment="1" applyProtection="1">
      <alignment horizontal="left" vertical="center"/>
    </xf>
    <xf numFmtId="0" fontId="20" fillId="4" borderId="15" xfId="8" applyFont="1" applyFill="1" applyBorder="1" applyAlignment="1" applyProtection="1">
      <alignment horizontal="left" vertical="center"/>
    </xf>
    <xf numFmtId="0" fontId="5" fillId="3" borderId="6" xfId="1" applyFont="1" applyFill="1" applyBorder="1" applyAlignment="1">
      <alignment horizontal="left" vertical="center" wrapText="1"/>
    </xf>
    <xf numFmtId="10" fontId="29" fillId="3" borderId="17" xfId="3" applyNumberFormat="1" applyFont="1" applyFill="1" applyBorder="1" applyAlignment="1">
      <alignment horizontal="center" vertical="center"/>
    </xf>
    <xf numFmtId="0" fontId="5" fillId="3" borderId="9" xfId="8" applyFont="1" applyFill="1" applyBorder="1" applyAlignment="1">
      <alignment horizontal="left" vertical="center" wrapText="1"/>
    </xf>
    <xf numFmtId="2" fontId="29" fillId="3" borderId="10" xfId="0" applyNumberFormat="1" applyFont="1" applyFill="1" applyBorder="1" applyAlignment="1">
      <alignment horizontal="center" vertical="center"/>
    </xf>
    <xf numFmtId="10" fontId="29" fillId="3" borderId="22" xfId="3" applyNumberFormat="1" applyFont="1" applyFill="1" applyBorder="1" applyAlignment="1">
      <alignment horizontal="center" vertical="center"/>
    </xf>
    <xf numFmtId="2" fontId="29" fillId="3" borderId="7" xfId="0" applyNumberFormat="1" applyFont="1" applyFill="1" applyBorder="1" applyAlignment="1">
      <alignment horizontal="center" vertical="center"/>
    </xf>
    <xf numFmtId="10" fontId="29" fillId="3" borderId="21" xfId="3" applyNumberFormat="1" applyFont="1" applyFill="1" applyBorder="1" applyAlignment="1">
      <alignment horizontal="center" vertical="center"/>
    </xf>
    <xf numFmtId="0" fontId="20" fillId="3" borderId="6" xfId="8" applyFont="1" applyFill="1" applyBorder="1" applyAlignment="1" applyProtection="1">
      <alignment horizontal="left" vertical="center"/>
    </xf>
    <xf numFmtId="0" fontId="20" fillId="3" borderId="6" xfId="8" applyFont="1" applyFill="1" applyBorder="1" applyAlignment="1" applyProtection="1">
      <alignment horizontal="left" vertical="center" wrapText="1"/>
    </xf>
    <xf numFmtId="0" fontId="0" fillId="3" borderId="23" xfId="0" applyFill="1" applyBorder="1"/>
    <xf numFmtId="0" fontId="20" fillId="3" borderId="23" xfId="8" applyFont="1" applyFill="1" applyBorder="1" applyAlignment="1">
      <alignment horizontal="left" vertical="center" wrapText="1"/>
    </xf>
    <xf numFmtId="164" fontId="29" fillId="3" borderId="5" xfId="0" applyNumberFormat="1" applyFont="1" applyFill="1" applyBorder="1" applyAlignment="1">
      <alignment horizontal="center" vertical="center"/>
    </xf>
    <xf numFmtId="168" fontId="29" fillId="3" borderId="21" xfId="3" applyNumberFormat="1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/>
    </xf>
    <xf numFmtId="0" fontId="0" fillId="3" borderId="25" xfId="0" applyFill="1" applyBorder="1"/>
    <xf numFmtId="0" fontId="0" fillId="3" borderId="26" xfId="0" applyFill="1" applyBorder="1"/>
    <xf numFmtId="0" fontId="0" fillId="3" borderId="6" xfId="0" applyFill="1" applyBorder="1"/>
    <xf numFmtId="0" fontId="0" fillId="3" borderId="9" xfId="0" applyFill="1" applyBorder="1"/>
    <xf numFmtId="9" fontId="0" fillId="3" borderId="7" xfId="3" applyFont="1" applyFill="1" applyBorder="1" applyAlignment="1">
      <alignment horizontal="center" vertical="center"/>
    </xf>
    <xf numFmtId="9" fontId="0" fillId="3" borderId="10" xfId="3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9" fontId="41" fillId="3" borderId="7" xfId="3" applyFont="1" applyFill="1" applyBorder="1" applyAlignment="1" applyProtection="1">
      <alignment horizontal="center" vertical="center"/>
      <protection locked="0"/>
    </xf>
    <xf numFmtId="9" fontId="41" fillId="3" borderId="10" xfId="3" applyFont="1" applyFill="1" applyBorder="1" applyAlignment="1" applyProtection="1">
      <alignment horizontal="center" vertical="center"/>
      <protection locked="0"/>
    </xf>
    <xf numFmtId="9" fontId="41" fillId="3" borderId="8" xfId="3" applyFont="1" applyFill="1" applyBorder="1" applyAlignment="1" applyProtection="1">
      <alignment horizontal="center" vertical="center"/>
      <protection locked="0"/>
    </xf>
    <xf numFmtId="9" fontId="41" fillId="3" borderId="11" xfId="3" applyFont="1" applyFill="1" applyBorder="1" applyAlignment="1" applyProtection="1">
      <alignment horizontal="center" vertical="center"/>
      <protection locked="0"/>
    </xf>
    <xf numFmtId="9" fontId="41" fillId="3" borderId="5" xfId="3" applyFont="1" applyFill="1" applyBorder="1" applyAlignment="1" applyProtection="1">
      <alignment horizontal="center" vertical="center"/>
      <protection locked="0"/>
    </xf>
    <xf numFmtId="9" fontId="0" fillId="3" borderId="5" xfId="3" applyFont="1" applyFill="1" applyBorder="1" applyAlignment="1">
      <alignment horizontal="center" vertical="center"/>
    </xf>
    <xf numFmtId="9" fontId="41" fillId="3" borderId="21" xfId="3" applyFont="1" applyFill="1" applyBorder="1" applyAlignment="1" applyProtection="1">
      <alignment horizontal="center" vertical="center"/>
      <protection locked="0"/>
    </xf>
    <xf numFmtId="0" fontId="17" fillId="3" borderId="2" xfId="0" applyFont="1" applyFill="1" applyBorder="1"/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3" borderId="23" xfId="0" applyFill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3" borderId="21" xfId="0" applyNumberForma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3" fillId="3" borderId="23" xfId="1" applyFont="1" applyFill="1" applyBorder="1" applyAlignment="1">
      <alignment horizontal="left" vertical="center" wrapText="1"/>
    </xf>
    <xf numFmtId="0" fontId="16" fillId="3" borderId="5" xfId="1" applyFont="1" applyFill="1" applyBorder="1" applyAlignment="1">
      <alignment horizontal="center" vertical="center" wrapText="1"/>
    </xf>
    <xf numFmtId="0" fontId="16" fillId="3" borderId="21" xfId="1" applyFont="1" applyFill="1" applyBorder="1" applyAlignment="1">
      <alignment horizontal="center" vertical="center" wrapText="1"/>
    </xf>
    <xf numFmtId="0" fontId="16" fillId="3" borderId="9" xfId="1" applyFont="1" applyFill="1" applyBorder="1" applyAlignment="1">
      <alignment horizontal="left" vertical="center" wrapText="1"/>
    </xf>
    <xf numFmtId="164" fontId="34" fillId="0" borderId="7" xfId="53" applyNumberFormat="1" applyFont="1" applyFill="1" applyBorder="1" applyAlignment="1" applyProtection="1">
      <alignment horizontal="center" vertical="center"/>
      <protection locked="0"/>
    </xf>
    <xf numFmtId="0" fontId="20" fillId="3" borderId="8" xfId="53" applyFont="1" applyFill="1" applyBorder="1" applyAlignment="1" applyProtection="1">
      <alignment horizontal="center" vertical="center"/>
    </xf>
    <xf numFmtId="0" fontId="20" fillId="3" borderId="7" xfId="53" applyFont="1" applyFill="1" applyBorder="1" applyAlignment="1" applyProtection="1">
      <alignment horizontal="center" vertical="center"/>
    </xf>
    <xf numFmtId="0" fontId="20" fillId="3" borderId="6" xfId="53" applyFont="1" applyFill="1" applyBorder="1" applyAlignment="1" applyProtection="1">
      <alignment horizontal="left" vertical="center" wrapText="1"/>
    </xf>
    <xf numFmtId="0" fontId="20" fillId="3" borderId="8" xfId="56" applyFont="1" applyFill="1" applyBorder="1" applyAlignment="1" applyProtection="1">
      <alignment horizontal="center" vertical="center"/>
    </xf>
    <xf numFmtId="0" fontId="20" fillId="3" borderId="7" xfId="56" applyFont="1" applyFill="1" applyBorder="1" applyAlignment="1" applyProtection="1">
      <alignment horizontal="center" vertical="center"/>
    </xf>
    <xf numFmtId="0" fontId="20" fillId="3" borderId="6" xfId="56" applyFont="1" applyFill="1" applyBorder="1" applyAlignment="1" applyProtection="1">
      <alignment horizontal="left" vertical="center" wrapText="1"/>
    </xf>
    <xf numFmtId="164" fontId="42" fillId="0" borderId="7" xfId="56" applyNumberFormat="1" applyFont="1" applyFill="1" applyBorder="1" applyAlignment="1" applyProtection="1">
      <alignment horizontal="center" vertical="center"/>
      <protection locked="0"/>
    </xf>
    <xf numFmtId="2" fontId="29" fillId="3" borderId="7" xfId="0" applyNumberFormat="1" applyFont="1" applyFill="1" applyBorder="1" applyAlignment="1">
      <alignment horizontal="center" vertical="center"/>
    </xf>
    <xf numFmtId="10" fontId="29" fillId="3" borderId="21" xfId="3" applyNumberFormat="1" applyFont="1" applyFill="1" applyBorder="1" applyAlignment="1">
      <alignment horizontal="center" vertical="center"/>
    </xf>
    <xf numFmtId="0" fontId="20" fillId="3" borderId="6" xfId="56" applyFont="1" applyFill="1" applyBorder="1" applyAlignment="1" applyProtection="1">
      <alignment horizontal="left" vertical="center" wrapText="1"/>
    </xf>
    <xf numFmtId="0" fontId="20" fillId="3" borderId="6" xfId="56" applyFont="1" applyFill="1" applyBorder="1" applyAlignment="1" applyProtection="1">
      <alignment horizontal="left" vertical="center" wrapText="1"/>
    </xf>
    <xf numFmtId="0" fontId="16" fillId="3" borderId="7" xfId="56" applyFont="1" applyFill="1" applyBorder="1" applyAlignment="1">
      <alignment horizontal="center" vertical="center" wrapText="1"/>
    </xf>
    <xf numFmtId="0" fontId="4" fillId="3" borderId="6" xfId="56" applyFont="1" applyFill="1" applyBorder="1" applyAlignment="1">
      <alignment horizontal="left" vertical="center" wrapText="1"/>
    </xf>
    <xf numFmtId="0" fontId="16" fillId="3" borderId="8" xfId="56" applyFont="1" applyFill="1" applyBorder="1" applyAlignment="1">
      <alignment horizontal="center" vertical="center" wrapText="1"/>
    </xf>
    <xf numFmtId="0" fontId="20" fillId="3" borderId="27" xfId="1" applyFont="1" applyFill="1" applyBorder="1" applyAlignment="1">
      <alignment horizontal="left" vertical="center" wrapText="1"/>
    </xf>
    <xf numFmtId="164" fontId="29" fillId="3" borderId="28" xfId="0" applyNumberFormat="1" applyFont="1" applyFill="1" applyBorder="1" applyAlignment="1">
      <alignment horizontal="center" vertical="center"/>
    </xf>
    <xf numFmtId="0" fontId="0" fillId="3" borderId="16" xfId="0" applyFont="1" applyFill="1" applyBorder="1" applyAlignment="1" applyProtection="1">
      <alignment horizontal="center"/>
    </xf>
    <xf numFmtId="0" fontId="0" fillId="3" borderId="7" xfId="0" applyFont="1" applyFill="1" applyBorder="1" applyAlignment="1" applyProtection="1">
      <alignment horizontal="center"/>
    </xf>
    <xf numFmtId="0" fontId="0" fillId="3" borderId="10" xfId="0" applyFont="1" applyFill="1" applyBorder="1" applyAlignment="1" applyProtection="1">
      <alignment horizontal="center"/>
    </xf>
    <xf numFmtId="164" fontId="19" fillId="0" borderId="0" xfId="1" applyNumberFormat="1" applyFont="1" applyFill="1" applyBorder="1" applyAlignment="1" applyProtection="1">
      <alignment horizontal="left" vertical="center"/>
      <protection locked="0"/>
    </xf>
    <xf numFmtId="0" fontId="19" fillId="4" borderId="19" xfId="8" applyFont="1" applyFill="1" applyBorder="1" applyAlignment="1" applyProtection="1">
      <alignment horizontal="left" vertical="center"/>
    </xf>
    <xf numFmtId="0" fontId="19" fillId="4" borderId="18" xfId="8" applyNumberFormat="1" applyFont="1" applyFill="1" applyBorder="1" applyAlignment="1" applyProtection="1">
      <alignment horizontal="center" vertical="center" wrapText="1"/>
    </xf>
    <xf numFmtId="164" fontId="20" fillId="3" borderId="7" xfId="8" applyNumberFormat="1" applyFont="1" applyFill="1" applyBorder="1" applyAlignment="1" applyProtection="1">
      <alignment horizontal="center" vertical="center"/>
    </xf>
    <xf numFmtId="0" fontId="19" fillId="4" borderId="19" xfId="1" applyFont="1" applyFill="1" applyBorder="1" applyAlignment="1" applyProtection="1">
      <alignment horizontal="left" vertical="center"/>
    </xf>
    <xf numFmtId="0" fontId="44" fillId="3" borderId="41" xfId="107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45" fillId="3" borderId="41" xfId="107" applyFont="1" applyFill="1" applyBorder="1" applyAlignment="1">
      <alignment horizontal="center" vertical="center" wrapText="1"/>
    </xf>
    <xf numFmtId="0" fontId="19" fillId="3" borderId="45" xfId="107" applyFont="1" applyFill="1" applyBorder="1" applyAlignment="1">
      <alignment horizontal="center" vertical="center" wrapText="1"/>
    </xf>
    <xf numFmtId="0" fontId="19" fillId="2" borderId="45" xfId="107" applyFont="1" applyFill="1" applyBorder="1" applyAlignment="1">
      <alignment horizontal="center" vertical="center" wrapText="1"/>
    </xf>
    <xf numFmtId="0" fontId="44" fillId="3" borderId="45" xfId="107" applyFont="1" applyFill="1" applyBorder="1" applyAlignment="1">
      <alignment horizontal="center" vertical="center" wrapText="1"/>
    </xf>
    <xf numFmtId="0" fontId="44" fillId="2" borderId="45" xfId="107" applyFont="1" applyFill="1" applyBorder="1" applyAlignment="1">
      <alignment horizontal="center" vertical="center" wrapText="1"/>
    </xf>
    <xf numFmtId="0" fontId="45" fillId="3" borderId="45" xfId="107" applyFont="1" applyFill="1" applyBorder="1" applyAlignment="1">
      <alignment horizontal="center" vertical="center" wrapText="1"/>
    </xf>
    <xf numFmtId="0" fontId="45" fillId="2" borderId="45" xfId="107" applyFont="1" applyFill="1" applyBorder="1" applyAlignment="1">
      <alignment horizontal="center" vertical="center" wrapText="1"/>
    </xf>
    <xf numFmtId="0" fontId="0" fillId="7" borderId="46" xfId="0" applyFill="1" applyBorder="1" applyAlignment="1">
      <alignment horizontal="center"/>
    </xf>
    <xf numFmtId="0" fontId="19" fillId="7" borderId="0" xfId="107" applyFont="1" applyFill="1" applyAlignment="1">
      <alignment horizontal="center" vertical="center" wrapText="1"/>
    </xf>
    <xf numFmtId="0" fontId="0" fillId="7" borderId="42" xfId="0" applyFill="1" applyBorder="1" applyAlignment="1">
      <alignment horizontal="center"/>
    </xf>
    <xf numFmtId="0" fontId="0" fillId="7" borderId="43" xfId="0" applyFill="1" applyBorder="1" applyAlignment="1">
      <alignment horizontal="center"/>
    </xf>
    <xf numFmtId="0" fontId="0" fillId="7" borderId="47" xfId="0" applyFill="1" applyBorder="1" applyAlignment="1">
      <alignment horizontal="center"/>
    </xf>
    <xf numFmtId="0" fontId="0" fillId="7" borderId="48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7" borderId="49" xfId="0" applyFill="1" applyBorder="1" applyAlignment="1">
      <alignment horizontal="center"/>
    </xf>
    <xf numFmtId="0" fontId="19" fillId="2" borderId="50" xfId="107" applyFont="1" applyFill="1" applyBorder="1" applyAlignment="1">
      <alignment horizontal="center" vertical="center" wrapText="1"/>
    </xf>
    <xf numFmtId="0" fontId="0" fillId="7" borderId="44" xfId="0" applyFill="1" applyBorder="1" applyAlignment="1">
      <alignment horizontal="center"/>
    </xf>
    <xf numFmtId="164" fontId="29" fillId="3" borderId="45" xfId="0" applyNumberFormat="1" applyFont="1" applyFill="1" applyBorder="1" applyAlignment="1">
      <alignment horizontal="center" vertical="center"/>
    </xf>
    <xf numFmtId="164" fontId="46" fillId="3" borderId="45" xfId="0" applyNumberFormat="1" applyFont="1" applyFill="1" applyBorder="1" applyAlignment="1">
      <alignment horizontal="center" vertical="center"/>
    </xf>
    <xf numFmtId="164" fontId="47" fillId="3" borderId="45" xfId="0" applyNumberFormat="1" applyFont="1" applyFill="1" applyBorder="1" applyAlignment="1">
      <alignment horizontal="center" vertical="center"/>
    </xf>
    <xf numFmtId="0" fontId="19" fillId="2" borderId="45" xfId="107" applyFont="1" applyFill="1" applyBorder="1" applyAlignment="1">
      <alignment horizontal="center" vertical="center"/>
    </xf>
    <xf numFmtId="164" fontId="46" fillId="7" borderId="46" xfId="0" applyNumberFormat="1" applyFont="1" applyFill="1" applyBorder="1" applyAlignment="1">
      <alignment horizontal="center" vertical="center"/>
    </xf>
    <xf numFmtId="164" fontId="0" fillId="7" borderId="0" xfId="0" applyNumberFormat="1" applyFill="1" applyAlignment="1">
      <alignment horizontal="center"/>
    </xf>
    <xf numFmtId="164" fontId="29" fillId="2" borderId="45" xfId="0" applyNumberFormat="1" applyFont="1" applyFill="1" applyBorder="1" applyAlignment="1">
      <alignment horizontal="center" vertical="center"/>
    </xf>
    <xf numFmtId="164" fontId="46" fillId="2" borderId="45" xfId="0" applyNumberFormat="1" applyFont="1" applyFill="1" applyBorder="1" applyAlignment="1">
      <alignment horizontal="center" vertical="center"/>
    </xf>
    <xf numFmtId="0" fontId="19" fillId="3" borderId="45" xfId="107" applyFont="1" applyFill="1" applyBorder="1" applyAlignment="1">
      <alignment horizontal="center" vertical="center"/>
    </xf>
    <xf numFmtId="164" fontId="48" fillId="2" borderId="45" xfId="0" applyNumberFormat="1" applyFont="1" applyFill="1" applyBorder="1" applyAlignment="1">
      <alignment horizontal="center" vertical="center"/>
    </xf>
    <xf numFmtId="164" fontId="48" fillId="3" borderId="45" xfId="0" applyNumberFormat="1" applyFont="1" applyFill="1" applyBorder="1" applyAlignment="1">
      <alignment horizontal="center" vertical="center"/>
    </xf>
    <xf numFmtId="0" fontId="19" fillId="9" borderId="41" xfId="107" applyFont="1" applyFill="1" applyBorder="1" applyAlignment="1">
      <alignment horizontal="center" vertical="center"/>
    </xf>
    <xf numFmtId="0" fontId="19" fillId="8" borderId="45" xfId="107" applyFont="1" applyFill="1" applyBorder="1" applyAlignment="1">
      <alignment horizontal="center" vertical="center" wrapText="1"/>
    </xf>
    <xf numFmtId="0" fontId="19" fillId="9" borderId="45" xfId="107" applyFont="1" applyFill="1" applyBorder="1" applyAlignment="1">
      <alignment horizontal="center" vertical="center" wrapText="1"/>
    </xf>
    <xf numFmtId="0" fontId="44" fillId="8" borderId="45" xfId="107" applyFont="1" applyFill="1" applyBorder="1" applyAlignment="1">
      <alignment horizontal="center" vertical="center" wrapText="1"/>
    </xf>
    <xf numFmtId="0" fontId="44" fillId="9" borderId="45" xfId="107" applyFont="1" applyFill="1" applyBorder="1" applyAlignment="1">
      <alignment horizontal="center" vertical="center" wrapText="1"/>
    </xf>
    <xf numFmtId="0" fontId="45" fillId="8" borderId="45" xfId="107" applyFont="1" applyFill="1" applyBorder="1" applyAlignment="1">
      <alignment horizontal="center" vertical="center" wrapText="1"/>
    </xf>
    <xf numFmtId="0" fontId="45" fillId="9" borderId="45" xfId="107" applyFont="1" applyFill="1" applyBorder="1" applyAlignment="1">
      <alignment horizontal="center" vertical="center" wrapText="1"/>
    </xf>
    <xf numFmtId="0" fontId="0" fillId="7" borderId="51" xfId="0" applyFill="1" applyBorder="1" applyAlignment="1">
      <alignment horizontal="center"/>
    </xf>
    <xf numFmtId="0" fontId="0" fillId="7" borderId="52" xfId="0" applyFill="1" applyBorder="1" applyAlignment="1">
      <alignment horizontal="center"/>
    </xf>
    <xf numFmtId="164" fontId="29" fillId="8" borderId="45" xfId="0" applyNumberFormat="1" applyFont="1" applyFill="1" applyBorder="1" applyAlignment="1">
      <alignment horizontal="center" vertical="center"/>
    </xf>
    <xf numFmtId="0" fontId="0" fillId="7" borderId="53" xfId="0" applyFill="1" applyBorder="1" applyAlignment="1">
      <alignment horizontal="center"/>
    </xf>
    <xf numFmtId="164" fontId="29" fillId="9" borderId="45" xfId="0" applyNumberFormat="1" applyFont="1" applyFill="1" applyBorder="1" applyAlignment="1">
      <alignment horizontal="center" vertical="center"/>
    </xf>
    <xf numFmtId="164" fontId="46" fillId="8" borderId="45" xfId="0" applyNumberFormat="1" applyFont="1" applyFill="1" applyBorder="1" applyAlignment="1">
      <alignment horizontal="center" vertical="center"/>
    </xf>
    <xf numFmtId="164" fontId="46" fillId="9" borderId="45" xfId="0" applyNumberFormat="1" applyFont="1" applyFill="1" applyBorder="1" applyAlignment="1">
      <alignment horizontal="center" vertical="center"/>
    </xf>
    <xf numFmtId="164" fontId="48" fillId="8" borderId="45" xfId="0" applyNumberFormat="1" applyFont="1" applyFill="1" applyBorder="1" applyAlignment="1">
      <alignment horizontal="center" vertical="center"/>
    </xf>
    <xf numFmtId="164" fontId="48" fillId="9" borderId="45" xfId="0" applyNumberFormat="1" applyFont="1" applyFill="1" applyBorder="1" applyAlignment="1">
      <alignment horizontal="center" vertical="center"/>
    </xf>
    <xf numFmtId="0" fontId="19" fillId="9" borderId="45" xfId="107" applyFont="1" applyFill="1" applyBorder="1" applyAlignment="1">
      <alignment horizontal="center" vertical="center"/>
    </xf>
    <xf numFmtId="0" fontId="19" fillId="8" borderId="45" xfId="107" applyFont="1" applyFill="1" applyBorder="1" applyAlignment="1">
      <alignment horizontal="center" vertical="center"/>
    </xf>
    <xf numFmtId="0" fontId="19" fillId="8" borderId="43" xfId="107" applyFont="1" applyFill="1" applyBorder="1" applyAlignment="1">
      <alignment vertical="center"/>
    </xf>
    <xf numFmtId="0" fontId="20" fillId="3" borderId="27" xfId="107" applyFont="1" applyFill="1" applyBorder="1" applyAlignment="1" applyProtection="1">
      <alignment horizontal="left" vertical="center"/>
    </xf>
    <xf numFmtId="0" fontId="20" fillId="3" borderId="9" xfId="107" applyFont="1" applyFill="1" applyBorder="1" applyAlignment="1" applyProtection="1">
      <alignment horizontal="left" vertical="center"/>
    </xf>
    <xf numFmtId="164" fontId="42" fillId="0" borderId="7" xfId="107" applyNumberFormat="1" applyFont="1" applyFill="1" applyBorder="1" applyAlignment="1" applyProtection="1">
      <alignment horizontal="center" vertical="center"/>
      <protection locked="0"/>
    </xf>
    <xf numFmtId="0" fontId="20" fillId="3" borderId="6" xfId="107" applyFont="1" applyFill="1" applyBorder="1" applyAlignment="1" applyProtection="1">
      <alignment horizontal="left" vertical="center"/>
    </xf>
    <xf numFmtId="0" fontId="20" fillId="3" borderId="6" xfId="107" applyFont="1" applyFill="1" applyBorder="1" applyAlignment="1" applyProtection="1">
      <alignment horizontal="left" vertical="center" wrapText="1"/>
    </xf>
    <xf numFmtId="0" fontId="21" fillId="3" borderId="6" xfId="107" applyFont="1" applyFill="1" applyBorder="1" applyAlignment="1" applyProtection="1">
      <alignment horizontal="left" vertical="center"/>
    </xf>
    <xf numFmtId="0" fontId="20" fillId="3" borderId="7" xfId="107" applyFont="1" applyFill="1" applyBorder="1" applyAlignment="1" applyProtection="1">
      <alignment horizontal="center" vertical="center"/>
    </xf>
    <xf numFmtId="0" fontId="20" fillId="3" borderId="8" xfId="107" applyFont="1" applyFill="1" applyBorder="1" applyAlignment="1" applyProtection="1">
      <alignment horizontal="center" vertical="center"/>
    </xf>
    <xf numFmtId="0" fontId="3" fillId="0" borderId="0" xfId="107" applyFont="1" applyProtection="1"/>
    <xf numFmtId="2" fontId="42" fillId="0" borderId="7" xfId="107" applyNumberFormat="1" applyFont="1" applyFill="1" applyBorder="1" applyAlignment="1" applyProtection="1">
      <alignment horizontal="center" vertical="center"/>
      <protection locked="0"/>
    </xf>
    <xf numFmtId="167" fontId="20" fillId="8" borderId="16" xfId="0" applyNumberFormat="1" applyFont="1" applyFill="1" applyBorder="1" applyAlignment="1">
      <alignment horizontal="center" vertical="center" wrapText="1"/>
    </xf>
    <xf numFmtId="167" fontId="20" fillId="8" borderId="5" xfId="0" applyNumberFormat="1" applyFont="1" applyFill="1" applyBorder="1" applyAlignment="1">
      <alignment horizontal="center" vertical="center" wrapText="1"/>
    </xf>
    <xf numFmtId="167" fontId="20" fillId="8" borderId="7" xfId="0" applyNumberFormat="1" applyFont="1" applyFill="1" applyBorder="1" applyAlignment="1">
      <alignment horizontal="center" vertical="center" wrapText="1"/>
    </xf>
    <xf numFmtId="167" fontId="20" fillId="2" borderId="7" xfId="0" applyNumberFormat="1" applyFont="1" applyFill="1" applyBorder="1" applyAlignment="1">
      <alignment horizontal="center" vertical="center" wrapText="1"/>
    </xf>
    <xf numFmtId="0" fontId="20" fillId="9" borderId="6" xfId="0" applyFont="1" applyFill="1" applyBorder="1" applyAlignment="1">
      <alignment horizontal="left" vertical="center"/>
    </xf>
    <xf numFmtId="0" fontId="20" fillId="9" borderId="7" xfId="0" applyFont="1" applyFill="1" applyBorder="1" applyAlignment="1">
      <alignment horizontal="center" vertical="center"/>
    </xf>
    <xf numFmtId="0" fontId="20" fillId="9" borderId="8" xfId="0" applyFont="1" applyFill="1" applyBorder="1" applyAlignment="1">
      <alignment horizontal="center" vertical="center"/>
    </xf>
    <xf numFmtId="0" fontId="20" fillId="9" borderId="6" xfId="0" applyFont="1" applyFill="1" applyBorder="1" applyAlignment="1">
      <alignment horizontal="left" vertical="center" wrapText="1"/>
    </xf>
    <xf numFmtId="167" fontId="20" fillId="9" borderId="7" xfId="0" applyNumberFormat="1" applyFont="1" applyFill="1" applyBorder="1" applyAlignment="1">
      <alignment horizontal="center" vertical="center" wrapText="1"/>
    </xf>
    <xf numFmtId="0" fontId="20" fillId="9" borderId="8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167" fontId="20" fillId="0" borderId="7" xfId="0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10" borderId="6" xfId="0" applyFont="1" applyFill="1" applyBorder="1" applyAlignment="1">
      <alignment horizontal="left" vertical="center" wrapText="1"/>
    </xf>
    <xf numFmtId="167" fontId="20" fillId="10" borderId="7" xfId="0" applyNumberFormat="1" applyFont="1" applyFill="1" applyBorder="1" applyAlignment="1">
      <alignment horizontal="center" vertical="center" wrapText="1"/>
    </xf>
    <xf numFmtId="0" fontId="20" fillId="10" borderId="8" xfId="0" applyFont="1" applyFill="1" applyBorder="1" applyAlignment="1">
      <alignment horizontal="center" vertical="center" wrapText="1"/>
    </xf>
    <xf numFmtId="0" fontId="20" fillId="10" borderId="6" xfId="0" applyFont="1" applyFill="1" applyBorder="1" applyAlignment="1">
      <alignment horizontal="left" vertical="center"/>
    </xf>
    <xf numFmtId="0" fontId="20" fillId="10" borderId="7" xfId="0" applyFont="1" applyFill="1" applyBorder="1" applyAlignment="1">
      <alignment horizontal="center" vertical="center"/>
    </xf>
    <xf numFmtId="0" fontId="20" fillId="10" borderId="8" xfId="0" applyFont="1" applyFill="1" applyBorder="1" applyAlignment="1">
      <alignment horizontal="center" vertical="center"/>
    </xf>
    <xf numFmtId="0" fontId="20" fillId="10" borderId="9" xfId="29" applyFont="1" applyFill="1" applyBorder="1" applyAlignment="1">
      <alignment horizontal="left" vertical="center" wrapText="1"/>
    </xf>
    <xf numFmtId="0" fontId="20" fillId="10" borderId="10" xfId="29" applyFont="1" applyFill="1" applyBorder="1" applyAlignment="1">
      <alignment horizontal="center" vertical="center" wrapText="1"/>
    </xf>
    <xf numFmtId="0" fontId="20" fillId="10" borderId="11" xfId="29" applyFont="1" applyFill="1" applyBorder="1" applyAlignment="1">
      <alignment horizontal="center" vertical="center"/>
    </xf>
    <xf numFmtId="0" fontId="20" fillId="8" borderId="15" xfId="0" applyNumberFormat="1" applyFont="1" applyFill="1" applyBorder="1" applyAlignment="1">
      <alignment horizontal="left" vertical="center" wrapText="1"/>
    </xf>
    <xf numFmtId="0" fontId="20" fillId="8" borderId="17" xfId="0" applyNumberFormat="1" applyFont="1" applyFill="1" applyBorder="1" applyAlignment="1">
      <alignment horizontal="center" vertical="center" wrapText="1"/>
    </xf>
    <xf numFmtId="0" fontId="20" fillId="8" borderId="23" xfId="0" applyNumberFormat="1" applyFont="1" applyFill="1" applyBorder="1" applyAlignment="1">
      <alignment horizontal="left" vertical="center" wrapText="1"/>
    </xf>
    <xf numFmtId="0" fontId="20" fillId="8" borderId="21" xfId="0" applyNumberFormat="1" applyFont="1" applyFill="1" applyBorder="1" applyAlignment="1">
      <alignment horizontal="center" vertical="center" wrapText="1"/>
    </xf>
    <xf numFmtId="0" fontId="20" fillId="8" borderId="6" xfId="0" applyNumberFormat="1" applyFont="1" applyFill="1" applyBorder="1" applyAlignment="1">
      <alignment horizontal="left" vertical="center" wrapText="1"/>
    </xf>
    <xf numFmtId="0" fontId="20" fillId="8" borderId="8" xfId="0" applyNumberFormat="1" applyFont="1" applyFill="1" applyBorder="1" applyAlignment="1">
      <alignment horizontal="center" vertical="center" wrapText="1"/>
    </xf>
    <xf numFmtId="0" fontId="20" fillId="2" borderId="6" xfId="0" applyNumberFormat="1" applyFont="1" applyFill="1" applyBorder="1" applyAlignment="1">
      <alignment horizontal="left" vertical="center" wrapText="1"/>
    </xf>
    <xf numFmtId="0" fontId="20" fillId="2" borderId="8" xfId="0" applyNumberFormat="1" applyFont="1" applyFill="1" applyBorder="1" applyAlignment="1">
      <alignment horizontal="center" vertical="center" wrapText="1"/>
    </xf>
    <xf numFmtId="0" fontId="19" fillId="3" borderId="3" xfId="1" applyFont="1" applyFill="1" applyBorder="1" applyAlignment="1">
      <alignment horizontal="center" vertical="center" wrapText="1"/>
    </xf>
    <xf numFmtId="0" fontId="19" fillId="3" borderId="4" xfId="1" applyFont="1" applyFill="1" applyBorder="1" applyAlignment="1">
      <alignment horizontal="center" vertical="center" wrapText="1"/>
    </xf>
    <xf numFmtId="0" fontId="20" fillId="3" borderId="6" xfId="8" applyFont="1" applyFill="1" applyBorder="1" applyAlignment="1">
      <alignment horizontal="left" vertical="center" wrapText="1"/>
    </xf>
    <xf numFmtId="0" fontId="20" fillId="3" borderId="6" xfId="8" applyFont="1" applyFill="1" applyBorder="1" applyAlignment="1">
      <alignment horizontal="left" vertical="center"/>
    </xf>
    <xf numFmtId="0" fontId="2" fillId="3" borderId="9" xfId="8" applyFont="1" applyFill="1" applyBorder="1" applyAlignment="1">
      <alignment horizontal="left" vertical="center" wrapText="1"/>
    </xf>
    <xf numFmtId="0" fontId="51" fillId="4" borderId="2" xfId="1" applyFont="1" applyFill="1" applyBorder="1"/>
    <xf numFmtId="0" fontId="51" fillId="3" borderId="4" xfId="1" applyFont="1" applyFill="1" applyBorder="1"/>
    <xf numFmtId="0" fontId="51" fillId="3" borderId="15" xfId="1" applyFont="1" applyFill="1" applyBorder="1"/>
    <xf numFmtId="0" fontId="51" fillId="3" borderId="17" xfId="1" applyNumberFormat="1" applyFont="1" applyFill="1" applyBorder="1" applyAlignment="1">
      <alignment horizontal="left" vertical="center" wrapText="1"/>
    </xf>
    <xf numFmtId="0" fontId="52" fillId="3" borderId="23" xfId="1" applyFont="1" applyFill="1" applyBorder="1"/>
    <xf numFmtId="0" fontId="52" fillId="3" borderId="21" xfId="1" applyNumberFormat="1" applyFont="1" applyFill="1" applyBorder="1" applyAlignment="1">
      <alignment horizontal="left" vertical="center" wrapText="1"/>
    </xf>
    <xf numFmtId="0" fontId="53" fillId="3" borderId="6" xfId="0" applyFont="1" applyFill="1" applyBorder="1"/>
    <xf numFmtId="0" fontId="53" fillId="3" borderId="8" xfId="0" applyFont="1" applyFill="1" applyBorder="1"/>
    <xf numFmtId="0" fontId="53" fillId="3" borderId="9" xfId="0" applyFont="1" applyFill="1" applyBorder="1"/>
    <xf numFmtId="0" fontId="53" fillId="3" borderId="11" xfId="0" applyFont="1" applyFill="1" applyBorder="1"/>
    <xf numFmtId="0" fontId="54" fillId="3" borderId="6" xfId="0" applyFont="1" applyFill="1" applyBorder="1"/>
    <xf numFmtId="0" fontId="55" fillId="3" borderId="6" xfId="0" applyFont="1" applyFill="1" applyBorder="1"/>
    <xf numFmtId="0" fontId="56" fillId="3" borderId="6" xfId="0" applyFont="1" applyFill="1" applyBorder="1"/>
    <xf numFmtId="0" fontId="57" fillId="3" borderId="9" xfId="0" applyFont="1" applyFill="1" applyBorder="1"/>
    <xf numFmtId="0" fontId="51" fillId="4" borderId="4" xfId="1" applyFont="1" applyFill="1" applyBorder="1"/>
    <xf numFmtId="0" fontId="58" fillId="0" borderId="0" xfId="108" applyFill="1" applyAlignment="1" applyProtection="1">
      <alignment horizontal="left" vertical="center"/>
    </xf>
    <xf numFmtId="0" fontId="20" fillId="3" borderId="23" xfId="1" applyFont="1" applyFill="1" applyBorder="1" applyAlignment="1">
      <alignment horizontal="left" vertical="center"/>
    </xf>
    <xf numFmtId="0" fontId="20" fillId="3" borderId="6" xfId="1" applyFont="1" applyFill="1" applyBorder="1" applyAlignment="1">
      <alignment horizontal="left" vertical="center"/>
    </xf>
    <xf numFmtId="0" fontId="20" fillId="3" borderId="9" xfId="1" applyFont="1" applyFill="1" applyBorder="1" applyAlignment="1">
      <alignment horizontal="left" vertical="center"/>
    </xf>
    <xf numFmtId="0" fontId="20" fillId="3" borderId="15" xfId="8" applyFont="1" applyFill="1" applyBorder="1" applyAlignment="1">
      <alignment horizontal="left" vertical="center"/>
    </xf>
    <xf numFmtId="0" fontId="20" fillId="3" borderId="9" xfId="8" applyFont="1" applyFill="1" applyBorder="1" applyAlignment="1">
      <alignment horizontal="left" vertical="center"/>
    </xf>
    <xf numFmtId="0" fontId="20" fillId="3" borderId="15" xfId="1" applyFont="1" applyFill="1" applyBorder="1" applyAlignment="1">
      <alignment horizontal="left" vertical="center"/>
    </xf>
    <xf numFmtId="0" fontId="20" fillId="3" borderId="27" xfId="1" applyFont="1" applyFill="1" applyBorder="1" applyAlignment="1">
      <alignment horizontal="left" vertical="center"/>
    </xf>
    <xf numFmtId="0" fontId="21" fillId="3" borderId="6" xfId="1" applyFont="1" applyFill="1" applyBorder="1" applyAlignment="1">
      <alignment horizontal="left" vertical="center"/>
    </xf>
    <xf numFmtId="0" fontId="1" fillId="3" borderId="6" xfId="1" applyFont="1" applyFill="1" applyBorder="1" applyAlignment="1">
      <alignment horizontal="left" vertical="center"/>
    </xf>
    <xf numFmtId="0" fontId="21" fillId="3" borderId="6" xfId="0" applyFont="1" applyFill="1" applyBorder="1" applyAlignment="1">
      <alignment horizontal="left" vertical="center" wrapText="1"/>
    </xf>
    <xf numFmtId="0" fontId="20" fillId="3" borderId="23" xfId="8" applyFont="1" applyFill="1" applyBorder="1" applyAlignment="1">
      <alignment horizontal="left" vertical="center"/>
    </xf>
    <xf numFmtId="0" fontId="20" fillId="3" borderId="30" xfId="8" applyFont="1" applyFill="1" applyBorder="1" applyAlignment="1">
      <alignment horizontal="left" vertical="center"/>
    </xf>
    <xf numFmtId="2" fontId="34" fillId="0" borderId="31" xfId="8" applyNumberFormat="1" applyFont="1" applyBorder="1" applyAlignment="1" applyProtection="1">
      <alignment horizontal="center" vertical="center"/>
      <protection locked="0"/>
    </xf>
    <xf numFmtId="164" fontId="20" fillId="3" borderId="31" xfId="8" applyNumberFormat="1" applyFont="1" applyFill="1" applyBorder="1" applyAlignment="1">
      <alignment horizontal="center" vertical="center"/>
    </xf>
    <xf numFmtId="0" fontId="20" fillId="3" borderId="22" xfId="8" applyFont="1" applyFill="1" applyBorder="1" applyAlignment="1">
      <alignment horizontal="center" vertical="center"/>
    </xf>
    <xf numFmtId="0" fontId="1" fillId="0" borderId="0" xfId="1" applyFont="1"/>
    <xf numFmtId="0" fontId="20" fillId="2" borderId="6" xfId="0" applyFont="1" applyFill="1" applyBorder="1" applyAlignment="1">
      <alignment horizontal="left" vertical="center" wrapText="1"/>
    </xf>
    <xf numFmtId="0" fontId="20" fillId="2" borderId="8" xfId="0" applyFont="1" applyFill="1" applyBorder="1" applyAlignment="1">
      <alignment horizontal="center" vertical="center" wrapText="1"/>
    </xf>
    <xf numFmtId="2" fontId="0" fillId="3" borderId="15" xfId="0" applyNumberFormat="1" applyFont="1" applyFill="1" applyBorder="1" applyAlignment="1" applyProtection="1">
      <alignment horizontal="left" vertical="center"/>
    </xf>
    <xf numFmtId="2" fontId="0" fillId="3" borderId="6" xfId="0" applyNumberFormat="1" applyFont="1" applyFill="1" applyBorder="1" applyAlignment="1" applyProtection="1">
      <alignment horizontal="left" vertical="center"/>
    </xf>
    <xf numFmtId="2" fontId="0" fillId="3" borderId="9" xfId="0" applyNumberFormat="1" applyFont="1" applyFill="1" applyBorder="1" applyAlignment="1" applyProtection="1">
      <alignment horizontal="left" vertical="center"/>
    </xf>
    <xf numFmtId="2" fontId="0" fillId="3" borderId="16" xfId="0" applyNumberFormat="1" applyFont="1" applyFill="1" applyBorder="1" applyAlignment="1" applyProtection="1">
      <alignment horizontal="center" vertical="center"/>
    </xf>
    <xf numFmtId="2" fontId="0" fillId="3" borderId="7" xfId="0" applyNumberFormat="1" applyFont="1" applyFill="1" applyBorder="1" applyAlignment="1" applyProtection="1">
      <alignment horizontal="center" vertical="center"/>
    </xf>
    <xf numFmtId="2" fontId="0" fillId="3" borderId="10" xfId="0" applyNumberFormat="1" applyFont="1" applyFill="1" applyBorder="1" applyAlignment="1" applyProtection="1">
      <alignment horizontal="center" vertical="center"/>
    </xf>
    <xf numFmtId="2" fontId="17" fillId="3" borderId="16" xfId="0" applyNumberFormat="1" applyFont="1" applyFill="1" applyBorder="1" applyAlignment="1" applyProtection="1">
      <alignment horizontal="center" vertical="center"/>
    </xf>
    <xf numFmtId="2" fontId="17" fillId="3" borderId="7" xfId="0" applyNumberFormat="1" applyFont="1" applyFill="1" applyBorder="1" applyAlignment="1" applyProtection="1">
      <alignment horizontal="center" vertical="center"/>
    </xf>
    <xf numFmtId="2" fontId="17" fillId="3" borderId="10" xfId="0" applyNumberFormat="1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19" fillId="4" borderId="3" xfId="1" applyNumberFormat="1" applyFont="1" applyFill="1" applyBorder="1" applyAlignment="1" applyProtection="1">
      <alignment horizontal="center" vertical="center" wrapText="1"/>
    </xf>
    <xf numFmtId="0" fontId="19" fillId="4" borderId="4" xfId="1" applyNumberFormat="1" applyFont="1" applyFill="1" applyBorder="1" applyAlignment="1" applyProtection="1">
      <alignment horizontal="center" vertical="center" wrapText="1"/>
    </xf>
    <xf numFmtId="164" fontId="19" fillId="5" borderId="5" xfId="1" applyNumberFormat="1" applyFont="1" applyFill="1" applyBorder="1" applyAlignment="1" applyProtection="1">
      <alignment horizontal="center" vertical="center"/>
    </xf>
    <xf numFmtId="164" fontId="19" fillId="5" borderId="21" xfId="1" applyNumberFormat="1" applyFont="1" applyFill="1" applyBorder="1" applyAlignment="1" applyProtection="1">
      <alignment horizontal="center" vertical="center"/>
    </xf>
    <xf numFmtId="164" fontId="19" fillId="5" borderId="12" xfId="1" applyNumberFormat="1" applyFont="1" applyFill="1" applyBorder="1" applyAlignment="1" applyProtection="1">
      <alignment horizontal="center" vertical="center"/>
    </xf>
    <xf numFmtId="164" fontId="19" fillId="5" borderId="13" xfId="1" applyNumberFormat="1" applyFont="1" applyFill="1" applyBorder="1" applyAlignment="1" applyProtection="1">
      <alignment horizontal="center" vertical="center"/>
    </xf>
    <xf numFmtId="164" fontId="19" fillId="5" borderId="40" xfId="1" applyNumberFormat="1" applyFont="1" applyFill="1" applyBorder="1" applyAlignment="1" applyProtection="1">
      <alignment horizontal="center" vertical="center"/>
    </xf>
    <xf numFmtId="164" fontId="19" fillId="5" borderId="37" xfId="1" applyNumberFormat="1" applyFont="1" applyFill="1" applyBorder="1" applyAlignment="1" applyProtection="1">
      <alignment horizontal="center" vertical="center"/>
    </xf>
    <xf numFmtId="164" fontId="19" fillId="5" borderId="38" xfId="1" applyNumberFormat="1" applyFont="1" applyFill="1" applyBorder="1" applyAlignment="1" applyProtection="1">
      <alignment horizontal="center" vertical="center"/>
    </xf>
    <xf numFmtId="164" fontId="19" fillId="5" borderId="39" xfId="1" applyNumberFormat="1" applyFont="1" applyFill="1" applyBorder="1" applyAlignment="1" applyProtection="1">
      <alignment horizontal="center" vertical="center"/>
    </xf>
    <xf numFmtId="0" fontId="20" fillId="3" borderId="6" xfId="0" applyFont="1" applyFill="1" applyBorder="1" applyAlignment="1">
      <alignment horizontal="left" vertical="center"/>
    </xf>
    <xf numFmtId="0" fontId="20" fillId="3" borderId="7" xfId="0" applyFont="1" applyFill="1" applyBorder="1" applyAlignment="1">
      <alignment horizontal="left" vertical="center"/>
    </xf>
    <xf numFmtId="0" fontId="20" fillId="3" borderId="9" xfId="56" applyFont="1" applyFill="1" applyBorder="1" applyAlignment="1">
      <alignment horizontal="left" vertical="center" wrapText="1"/>
    </xf>
    <xf numFmtId="0" fontId="20" fillId="3" borderId="10" xfId="56" applyFont="1" applyFill="1" applyBorder="1" applyAlignment="1">
      <alignment horizontal="left" vertical="center" wrapText="1"/>
    </xf>
    <xf numFmtId="0" fontId="19" fillId="4" borderId="19" xfId="1" applyFont="1" applyFill="1" applyBorder="1" applyAlignment="1" applyProtection="1">
      <alignment horizontal="left" vertical="center"/>
    </xf>
    <xf numFmtId="0" fontId="19" fillId="4" borderId="18" xfId="1" applyFont="1" applyFill="1" applyBorder="1" applyAlignment="1" applyProtection="1">
      <alignment horizontal="left" vertical="center"/>
    </xf>
    <xf numFmtId="0" fontId="20" fillId="3" borderId="6" xfId="56" applyFont="1" applyFill="1" applyBorder="1" applyAlignment="1">
      <alignment horizontal="left" vertical="center" wrapText="1"/>
    </xf>
    <xf numFmtId="0" fontId="20" fillId="3" borderId="7" xfId="56" applyFont="1" applyFill="1" applyBorder="1" applyAlignment="1">
      <alignment horizontal="left" vertical="center" wrapText="1"/>
    </xf>
    <xf numFmtId="0" fontId="20" fillId="3" borderId="15" xfId="56" applyFont="1" applyFill="1" applyBorder="1" applyAlignment="1">
      <alignment horizontal="left" vertical="center" wrapText="1"/>
    </xf>
    <xf numFmtId="0" fontId="20" fillId="3" borderId="16" xfId="56" applyFont="1" applyFill="1" applyBorder="1" applyAlignment="1">
      <alignment horizontal="left" vertical="center" wrapText="1"/>
    </xf>
    <xf numFmtId="0" fontId="43" fillId="6" borderId="33" xfId="8" applyFont="1" applyFill="1" applyBorder="1" applyAlignment="1" applyProtection="1">
      <alignment horizontal="center"/>
    </xf>
    <xf numFmtId="0" fontId="43" fillId="6" borderId="32" xfId="8" applyFont="1" applyFill="1" applyBorder="1" applyAlignment="1" applyProtection="1">
      <alignment horizontal="center"/>
    </xf>
    <xf numFmtId="0" fontId="43" fillId="6" borderId="34" xfId="8" applyFont="1" applyFill="1" applyBorder="1" applyAlignment="1" applyProtection="1">
      <alignment horizontal="center"/>
    </xf>
    <xf numFmtId="0" fontId="44" fillId="3" borderId="41" xfId="107" applyFont="1" applyFill="1" applyBorder="1" applyAlignment="1">
      <alignment horizontal="center" vertical="center" wrapText="1"/>
    </xf>
    <xf numFmtId="0" fontId="44" fillId="3" borderId="42" xfId="107" applyFont="1" applyFill="1" applyBorder="1" applyAlignment="1">
      <alignment horizontal="center" vertical="center" wrapText="1"/>
    </xf>
    <xf numFmtId="0" fontId="44" fillId="3" borderId="43" xfId="107" applyFont="1" applyFill="1" applyBorder="1" applyAlignment="1">
      <alignment horizontal="center" vertical="center" wrapText="1"/>
    </xf>
    <xf numFmtId="0" fontId="45" fillId="3" borderId="41" xfId="107" applyFont="1" applyFill="1" applyBorder="1" applyAlignment="1">
      <alignment horizontal="center" vertical="center" wrapText="1"/>
    </xf>
    <xf numFmtId="0" fontId="45" fillId="3" borderId="42" xfId="107" applyFont="1" applyFill="1" applyBorder="1" applyAlignment="1">
      <alignment horizontal="center" vertical="center" wrapText="1"/>
    </xf>
    <xf numFmtId="0" fontId="45" fillId="3" borderId="43" xfId="107" applyFont="1" applyFill="1" applyBorder="1" applyAlignment="1">
      <alignment horizontal="center" vertical="center" wrapText="1"/>
    </xf>
    <xf numFmtId="0" fontId="19" fillId="3" borderId="41" xfId="107" applyFont="1" applyFill="1" applyBorder="1" applyAlignment="1">
      <alignment horizontal="center" vertical="center"/>
    </xf>
    <xf numFmtId="0" fontId="19" fillId="3" borderId="42" xfId="107" applyFont="1" applyFill="1" applyBorder="1" applyAlignment="1">
      <alignment horizontal="center" vertical="center"/>
    </xf>
    <xf numFmtId="0" fontId="19" fillId="3" borderId="44" xfId="107" applyFont="1" applyFill="1" applyBorder="1" applyAlignment="1">
      <alignment horizontal="center" vertical="center"/>
    </xf>
    <xf numFmtId="0" fontId="19" fillId="2" borderId="41" xfId="107" applyFont="1" applyFill="1" applyBorder="1" applyAlignment="1">
      <alignment horizontal="center" vertical="center"/>
    </xf>
    <xf numFmtId="0" fontId="19" fillId="2" borderId="42" xfId="107" applyFont="1" applyFill="1" applyBorder="1" applyAlignment="1">
      <alignment horizontal="center" vertical="center"/>
    </xf>
    <xf numFmtId="0" fontId="19" fillId="2" borderId="44" xfId="107" applyFont="1" applyFill="1" applyBorder="1" applyAlignment="1">
      <alignment horizontal="center" vertical="center"/>
    </xf>
    <xf numFmtId="164" fontId="29" fillId="3" borderId="41" xfId="0" applyNumberFormat="1" applyFont="1" applyFill="1" applyBorder="1" applyAlignment="1">
      <alignment horizontal="center" vertical="center"/>
    </xf>
    <xf numFmtId="164" fontId="29" fillId="3" borderId="42" xfId="0" applyNumberFormat="1" applyFont="1" applyFill="1" applyBorder="1" applyAlignment="1">
      <alignment horizontal="center" vertical="center"/>
    </xf>
    <xf numFmtId="164" fontId="29" fillId="2" borderId="41" xfId="0" applyNumberFormat="1" applyFont="1" applyFill="1" applyBorder="1" applyAlignment="1">
      <alignment horizontal="center" vertical="center"/>
    </xf>
    <xf numFmtId="164" fontId="29" fillId="2" borderId="42" xfId="0" applyNumberFormat="1" applyFont="1" applyFill="1" applyBorder="1" applyAlignment="1">
      <alignment horizontal="center" vertical="center"/>
    </xf>
    <xf numFmtId="164" fontId="46" fillId="3" borderId="41" xfId="0" applyNumberFormat="1" applyFont="1" applyFill="1" applyBorder="1" applyAlignment="1">
      <alignment horizontal="center" vertical="center"/>
    </xf>
    <xf numFmtId="164" fontId="46" fillId="3" borderId="42" xfId="0" applyNumberFormat="1" applyFont="1" applyFill="1" applyBorder="1" applyAlignment="1">
      <alignment horizontal="center" vertical="center"/>
    </xf>
    <xf numFmtId="164" fontId="46" fillId="2" borderId="41" xfId="0" applyNumberFormat="1" applyFont="1" applyFill="1" applyBorder="1" applyAlignment="1">
      <alignment horizontal="center" vertical="center"/>
    </xf>
    <xf numFmtId="164" fontId="46" fillId="2" borderId="42" xfId="0" applyNumberFormat="1" applyFont="1" applyFill="1" applyBorder="1" applyAlignment="1">
      <alignment horizontal="center" vertical="center"/>
    </xf>
    <xf numFmtId="164" fontId="47" fillId="3" borderId="41" xfId="0" applyNumberFormat="1" applyFont="1" applyFill="1" applyBorder="1" applyAlignment="1">
      <alignment horizontal="center" vertical="center"/>
    </xf>
    <xf numFmtId="164" fontId="47" fillId="3" borderId="42" xfId="0" applyNumberFormat="1" applyFont="1" applyFill="1" applyBorder="1" applyAlignment="1">
      <alignment horizontal="center" vertical="center"/>
    </xf>
    <xf numFmtId="164" fontId="47" fillId="2" borderId="41" xfId="0" applyNumberFormat="1" applyFont="1" applyFill="1" applyBorder="1" applyAlignment="1">
      <alignment horizontal="center" vertical="center"/>
    </xf>
    <xf numFmtId="164" fontId="47" fillId="2" borderId="42" xfId="0" applyNumberFormat="1" applyFont="1" applyFill="1" applyBorder="1" applyAlignment="1">
      <alignment horizontal="center" vertical="center"/>
    </xf>
    <xf numFmtId="0" fontId="19" fillId="3" borderId="45" xfId="107" applyFont="1" applyFill="1" applyBorder="1" applyAlignment="1">
      <alignment horizontal="center" vertical="center"/>
    </xf>
    <xf numFmtId="164" fontId="29" fillId="3" borderId="45" xfId="0" applyNumberFormat="1" applyFont="1" applyFill="1" applyBorder="1" applyAlignment="1">
      <alignment horizontal="center" vertical="center"/>
    </xf>
    <xf numFmtId="0" fontId="19" fillId="2" borderId="45" xfId="107" applyFont="1" applyFill="1" applyBorder="1" applyAlignment="1">
      <alignment horizontal="center" vertical="center"/>
    </xf>
    <xf numFmtId="164" fontId="46" fillId="3" borderId="45" xfId="0" applyNumberFormat="1" applyFont="1" applyFill="1" applyBorder="1" applyAlignment="1">
      <alignment horizontal="center" vertical="center"/>
    </xf>
    <xf numFmtId="164" fontId="29" fillId="2" borderId="45" xfId="0" applyNumberFormat="1" applyFont="1" applyFill="1" applyBorder="1" applyAlignment="1">
      <alignment horizontal="center" vertical="center"/>
    </xf>
    <xf numFmtId="164" fontId="47" fillId="3" borderId="45" xfId="0" applyNumberFormat="1" applyFont="1" applyFill="1" applyBorder="1" applyAlignment="1">
      <alignment horizontal="center" vertical="center"/>
    </xf>
    <xf numFmtId="164" fontId="46" fillId="2" borderId="45" xfId="0" applyNumberFormat="1" applyFont="1" applyFill="1" applyBorder="1" applyAlignment="1">
      <alignment horizontal="center" vertical="center"/>
    </xf>
    <xf numFmtId="164" fontId="47" fillId="2" borderId="45" xfId="0" applyNumberFormat="1" applyFont="1" applyFill="1" applyBorder="1" applyAlignment="1">
      <alignment horizontal="center" vertical="center"/>
    </xf>
    <xf numFmtId="0" fontId="19" fillId="8" borderId="41" xfId="107" applyFont="1" applyFill="1" applyBorder="1" applyAlignment="1">
      <alignment horizontal="center" vertical="center"/>
    </xf>
    <xf numFmtId="0" fontId="19" fillId="8" borderId="42" xfId="107" applyFont="1" applyFill="1" applyBorder="1" applyAlignment="1">
      <alignment horizontal="center" vertical="center"/>
    </xf>
    <xf numFmtId="0" fontId="19" fillId="8" borderId="43" xfId="107" applyFont="1" applyFill="1" applyBorder="1" applyAlignment="1">
      <alignment horizontal="center" vertical="center"/>
    </xf>
    <xf numFmtId="0" fontId="19" fillId="9" borderId="41" xfId="107" applyFont="1" applyFill="1" applyBorder="1" applyAlignment="1">
      <alignment horizontal="center" vertical="center"/>
    </xf>
    <xf numFmtId="0" fontId="19" fillId="9" borderId="42" xfId="107" applyFont="1" applyFill="1" applyBorder="1" applyAlignment="1">
      <alignment horizontal="center" vertical="center"/>
    </xf>
    <xf numFmtId="0" fontId="19" fillId="9" borderId="43" xfId="107" applyFont="1" applyFill="1" applyBorder="1" applyAlignment="1">
      <alignment horizontal="center" vertical="center"/>
    </xf>
    <xf numFmtId="164" fontId="29" fillId="8" borderId="41" xfId="0" applyNumberFormat="1" applyFont="1" applyFill="1" applyBorder="1" applyAlignment="1">
      <alignment horizontal="center" vertical="center"/>
    </xf>
    <xf numFmtId="164" fontId="29" fillId="8" borderId="43" xfId="0" applyNumberFormat="1" applyFont="1" applyFill="1" applyBorder="1" applyAlignment="1">
      <alignment horizontal="center" vertical="center"/>
    </xf>
    <xf numFmtId="164" fontId="29" fillId="9" borderId="41" xfId="0" applyNumberFormat="1" applyFont="1" applyFill="1" applyBorder="1" applyAlignment="1">
      <alignment horizontal="center" vertical="center"/>
    </xf>
    <xf numFmtId="164" fontId="29" fillId="9" borderId="43" xfId="0" applyNumberFormat="1" applyFont="1" applyFill="1" applyBorder="1" applyAlignment="1">
      <alignment horizontal="center" vertical="center"/>
    </xf>
    <xf numFmtId="164" fontId="46" fillId="8" borderId="41" xfId="0" applyNumberFormat="1" applyFont="1" applyFill="1" applyBorder="1" applyAlignment="1">
      <alignment horizontal="center" vertical="center"/>
    </xf>
    <xf numFmtId="164" fontId="46" fillId="8" borderId="43" xfId="0" applyNumberFormat="1" applyFont="1" applyFill="1" applyBorder="1" applyAlignment="1">
      <alignment horizontal="center" vertical="center"/>
    </xf>
    <xf numFmtId="164" fontId="46" fillId="9" borderId="41" xfId="0" applyNumberFormat="1" applyFont="1" applyFill="1" applyBorder="1" applyAlignment="1">
      <alignment horizontal="center" vertical="center"/>
    </xf>
    <xf numFmtId="164" fontId="46" fillId="9" borderId="43" xfId="0" applyNumberFormat="1" applyFont="1" applyFill="1" applyBorder="1" applyAlignment="1">
      <alignment horizontal="center" vertical="center"/>
    </xf>
    <xf numFmtId="164" fontId="48" fillId="8" borderId="41" xfId="0" applyNumberFormat="1" applyFont="1" applyFill="1" applyBorder="1" applyAlignment="1">
      <alignment horizontal="center" vertical="center"/>
    </xf>
    <xf numFmtId="164" fontId="48" fillId="8" borderId="43" xfId="0" applyNumberFormat="1" applyFont="1" applyFill="1" applyBorder="1" applyAlignment="1">
      <alignment horizontal="center" vertical="center"/>
    </xf>
    <xf numFmtId="164" fontId="48" fillId="9" borderId="41" xfId="0" applyNumberFormat="1" applyFont="1" applyFill="1" applyBorder="1" applyAlignment="1">
      <alignment horizontal="center" vertical="center"/>
    </xf>
    <xf numFmtId="164" fontId="48" fillId="9" borderId="43" xfId="0" applyNumberFormat="1" applyFont="1" applyFill="1" applyBorder="1" applyAlignment="1">
      <alignment horizontal="center" vertical="center"/>
    </xf>
  </cellXfs>
  <cellStyles count="109">
    <cellStyle name="Lien hypertexte" xfId="108" builtinId="8"/>
    <cellStyle name="Normal" xfId="0" builtinId="0"/>
    <cellStyle name="Normal 10" xfId="21" xr:uid="{00000000-0005-0000-0000-000002000000}"/>
    <cellStyle name="Normal 10 2" xfId="33" xr:uid="{00000000-0005-0000-0000-000003000000}"/>
    <cellStyle name="Normal 10 2 2" xfId="84" xr:uid="{00000000-0005-0000-0000-000004000000}"/>
    <cellStyle name="Normal 10 3" xfId="35" xr:uid="{00000000-0005-0000-0000-000005000000}"/>
    <cellStyle name="Normal 10 3 2" xfId="86" xr:uid="{00000000-0005-0000-0000-000006000000}"/>
    <cellStyle name="Normal 10 4" xfId="74" xr:uid="{00000000-0005-0000-0000-000007000000}"/>
    <cellStyle name="Normal 11" xfId="24" xr:uid="{00000000-0005-0000-0000-000008000000}"/>
    <cellStyle name="Normal 11 2" xfId="29" xr:uid="{00000000-0005-0000-0000-000009000000}"/>
    <cellStyle name="Normal 11 2 2" xfId="36" xr:uid="{00000000-0005-0000-0000-00000A000000}"/>
    <cellStyle name="Normal 11 2 2 2" xfId="87" xr:uid="{00000000-0005-0000-0000-00000B000000}"/>
    <cellStyle name="Normal 11 2 3" xfId="57" xr:uid="{00000000-0005-0000-0000-00000C000000}"/>
    <cellStyle name="Normal 11 3" xfId="77" xr:uid="{00000000-0005-0000-0000-00000D000000}"/>
    <cellStyle name="Normal 12" xfId="28" xr:uid="{00000000-0005-0000-0000-00000E000000}"/>
    <cellStyle name="Normal 12 2" xfId="80" xr:uid="{00000000-0005-0000-0000-00000F000000}"/>
    <cellStyle name="Normal 13" xfId="32" xr:uid="{00000000-0005-0000-0000-000010000000}"/>
    <cellStyle name="Normal 13 2" xfId="83" xr:uid="{00000000-0005-0000-0000-000011000000}"/>
    <cellStyle name="Normal 14" xfId="34" xr:uid="{00000000-0005-0000-0000-000012000000}"/>
    <cellStyle name="Normal 14 2" xfId="85" xr:uid="{00000000-0005-0000-0000-000013000000}"/>
    <cellStyle name="Normal 2" xfId="2" xr:uid="{00000000-0005-0000-0000-000014000000}"/>
    <cellStyle name="Normál 2" xfId="16" xr:uid="{00000000-0005-0000-0000-000015000000}"/>
    <cellStyle name="Normal 2 10" xfId="6" xr:uid="{00000000-0005-0000-0000-000016000000}"/>
    <cellStyle name="Normal 2 10 2" xfId="61" xr:uid="{00000000-0005-0000-0000-000017000000}"/>
    <cellStyle name="Normal 2 11" xfId="42" xr:uid="{00000000-0005-0000-0000-000018000000}"/>
    <cellStyle name="Normal 2 11 2" xfId="93" xr:uid="{00000000-0005-0000-0000-000019000000}"/>
    <cellStyle name="Normal 2 12" xfId="44" xr:uid="{00000000-0005-0000-0000-00001A000000}"/>
    <cellStyle name="Normal 2 12 2" xfId="95" xr:uid="{00000000-0005-0000-0000-00001B000000}"/>
    <cellStyle name="Normal 2 13" xfId="46" xr:uid="{00000000-0005-0000-0000-00001C000000}"/>
    <cellStyle name="Normal 2 13 2" xfId="97" xr:uid="{00000000-0005-0000-0000-00001D000000}"/>
    <cellStyle name="Normal 2 14" xfId="43" xr:uid="{00000000-0005-0000-0000-00001E000000}"/>
    <cellStyle name="Normal 2 14 2" xfId="94" xr:uid="{00000000-0005-0000-0000-00001F000000}"/>
    <cellStyle name="Normal 2 15" xfId="48" xr:uid="{00000000-0005-0000-0000-000020000000}"/>
    <cellStyle name="Normal 2 15 2" xfId="99" xr:uid="{00000000-0005-0000-0000-000021000000}"/>
    <cellStyle name="Normal 2 16" xfId="4" xr:uid="{00000000-0005-0000-0000-000022000000}"/>
    <cellStyle name="Normal 2 16 2" xfId="59" xr:uid="{00000000-0005-0000-0000-000023000000}"/>
    <cellStyle name="Normal 2 17" xfId="45" xr:uid="{00000000-0005-0000-0000-000024000000}"/>
    <cellStyle name="Normal 2 17 2" xfId="96" xr:uid="{00000000-0005-0000-0000-000025000000}"/>
    <cellStyle name="Normal 2 18" xfId="50" xr:uid="{00000000-0005-0000-0000-000026000000}"/>
    <cellStyle name="Normal 2 18 2" xfId="101" xr:uid="{00000000-0005-0000-0000-000027000000}"/>
    <cellStyle name="Normal 2 19" xfId="49" xr:uid="{00000000-0005-0000-0000-000028000000}"/>
    <cellStyle name="Normal 2 19 2" xfId="100" xr:uid="{00000000-0005-0000-0000-000029000000}"/>
    <cellStyle name="Normal 2 2" xfId="11" xr:uid="{00000000-0005-0000-0000-00002A000000}"/>
    <cellStyle name="Normál 2 2" xfId="69" xr:uid="{00000000-0005-0000-0000-00002B000000}"/>
    <cellStyle name="Normal 2 20" xfId="47" xr:uid="{00000000-0005-0000-0000-00002C000000}"/>
    <cellStyle name="Normal 2 20 2" xfId="98" xr:uid="{00000000-0005-0000-0000-00002D000000}"/>
    <cellStyle name="Normal 2 21" xfId="51" xr:uid="{00000000-0005-0000-0000-00002E000000}"/>
    <cellStyle name="Normal 2 21 2" xfId="102" xr:uid="{00000000-0005-0000-0000-00002F000000}"/>
    <cellStyle name="Normal 2 22" xfId="52" xr:uid="{00000000-0005-0000-0000-000030000000}"/>
    <cellStyle name="Normal 2 22 2" xfId="103" xr:uid="{00000000-0005-0000-0000-000031000000}"/>
    <cellStyle name="Normal 2 23" xfId="58" xr:uid="{00000000-0005-0000-0000-000032000000}"/>
    <cellStyle name="Normal 2 24" xfId="54" xr:uid="{00000000-0005-0000-0000-000033000000}"/>
    <cellStyle name="Normal 2 25" xfId="64" xr:uid="{00000000-0005-0000-0000-000034000000}"/>
    <cellStyle name="Normal 2 26" xfId="106" xr:uid="{00000000-0005-0000-0000-000035000000}"/>
    <cellStyle name="Normal 2 3" xfId="27" xr:uid="{00000000-0005-0000-0000-000036000000}"/>
    <cellStyle name="Normál 2 3" xfId="105" xr:uid="{00000000-0005-0000-0000-000037000000}"/>
    <cellStyle name="Normal 2 4" xfId="9" xr:uid="{00000000-0005-0000-0000-000038000000}"/>
    <cellStyle name="Normál 2 4" xfId="104" xr:uid="{00000000-0005-0000-0000-000039000000}"/>
    <cellStyle name="Normal 2 4 2" xfId="62" xr:uid="{00000000-0005-0000-0000-00003A000000}"/>
    <cellStyle name="Normal 2 5" xfId="10" xr:uid="{00000000-0005-0000-0000-00003B000000}"/>
    <cellStyle name="Normal 2 5 2" xfId="63" xr:uid="{00000000-0005-0000-0000-00003C000000}"/>
    <cellStyle name="Normal 2 6" xfId="18" xr:uid="{00000000-0005-0000-0000-00003D000000}"/>
    <cellStyle name="Normal 2 6 2" xfId="71" xr:uid="{00000000-0005-0000-0000-00003E000000}"/>
    <cellStyle name="Normal 2 7" xfId="40" xr:uid="{00000000-0005-0000-0000-00003F000000}"/>
    <cellStyle name="Normal 2 7 2" xfId="91" xr:uid="{00000000-0005-0000-0000-000040000000}"/>
    <cellStyle name="Normal 2 8" xfId="39" xr:uid="{00000000-0005-0000-0000-000041000000}"/>
    <cellStyle name="Normal 2 8 2" xfId="90" xr:uid="{00000000-0005-0000-0000-000042000000}"/>
    <cellStyle name="Normal 2 9" xfId="41" xr:uid="{00000000-0005-0000-0000-000043000000}"/>
    <cellStyle name="Normal 2 9 2" xfId="92" xr:uid="{00000000-0005-0000-0000-000044000000}"/>
    <cellStyle name="Normal 3" xfId="1" xr:uid="{00000000-0005-0000-0000-000045000000}"/>
    <cellStyle name="Normal 3 2" xfId="8" xr:uid="{00000000-0005-0000-0000-000046000000}"/>
    <cellStyle name="Normal 3 2 2" xfId="56" xr:uid="{00000000-0005-0000-0000-000047000000}"/>
    <cellStyle name="Normal 3 3" xfId="22" xr:uid="{00000000-0005-0000-0000-000048000000}"/>
    <cellStyle name="Normal 3 3 2" xfId="75" xr:uid="{00000000-0005-0000-0000-000049000000}"/>
    <cellStyle name="Normal 3 4" xfId="25" xr:uid="{00000000-0005-0000-0000-00004A000000}"/>
    <cellStyle name="Normal 3 4 2" xfId="78" xr:uid="{00000000-0005-0000-0000-00004B000000}"/>
    <cellStyle name="Normal 3 5" xfId="30" xr:uid="{00000000-0005-0000-0000-00004C000000}"/>
    <cellStyle name="Normal 3 5 2" xfId="37" xr:uid="{00000000-0005-0000-0000-00004D000000}"/>
    <cellStyle name="Normal 3 5 2 2" xfId="88" xr:uid="{00000000-0005-0000-0000-00004E000000}"/>
    <cellStyle name="Normal 3 5 3" xfId="81" xr:uid="{00000000-0005-0000-0000-00004F000000}"/>
    <cellStyle name="Normal 3 6" xfId="5" xr:uid="{00000000-0005-0000-0000-000050000000}"/>
    <cellStyle name="Normal 3 6 2" xfId="60" xr:uid="{00000000-0005-0000-0000-000051000000}"/>
    <cellStyle name="Normal 3 7" xfId="53" xr:uid="{00000000-0005-0000-0000-000052000000}"/>
    <cellStyle name="Normal 3 8" xfId="107" xr:uid="{00000000-0005-0000-0000-000053000000}"/>
    <cellStyle name="Normal 4" xfId="7" xr:uid="{00000000-0005-0000-0000-000054000000}"/>
    <cellStyle name="Normal 4 2" xfId="13" xr:uid="{00000000-0005-0000-0000-000055000000}"/>
    <cellStyle name="Normal 4 2 2" xfId="66" xr:uid="{00000000-0005-0000-0000-000056000000}"/>
    <cellStyle name="Normal 4 3" xfId="19" xr:uid="{00000000-0005-0000-0000-000057000000}"/>
    <cellStyle name="Normal 4 3 2" xfId="72" xr:uid="{00000000-0005-0000-0000-000058000000}"/>
    <cellStyle name="Normal 4 4" xfId="23" xr:uid="{00000000-0005-0000-0000-000059000000}"/>
    <cellStyle name="Normal 4 4 2" xfId="76" xr:uid="{00000000-0005-0000-0000-00005A000000}"/>
    <cellStyle name="Normal 4 5" xfId="26" xr:uid="{00000000-0005-0000-0000-00005B000000}"/>
    <cellStyle name="Normal 4 5 2" xfId="79" xr:uid="{00000000-0005-0000-0000-00005C000000}"/>
    <cellStyle name="Normal 4 6" xfId="31" xr:uid="{00000000-0005-0000-0000-00005D000000}"/>
    <cellStyle name="Normal 4 6 2" xfId="38" xr:uid="{00000000-0005-0000-0000-00005E000000}"/>
    <cellStyle name="Normal 4 6 2 2" xfId="89" xr:uid="{00000000-0005-0000-0000-00005F000000}"/>
    <cellStyle name="Normal 4 6 3" xfId="82" xr:uid="{00000000-0005-0000-0000-000060000000}"/>
    <cellStyle name="Normal 4 7" xfId="55" xr:uid="{00000000-0005-0000-0000-000061000000}"/>
    <cellStyle name="Normal 5" xfId="12" xr:uid="{00000000-0005-0000-0000-000062000000}"/>
    <cellStyle name="Normal 5 2" xfId="65" xr:uid="{00000000-0005-0000-0000-000063000000}"/>
    <cellStyle name="Normal 6" xfId="14" xr:uid="{00000000-0005-0000-0000-000064000000}"/>
    <cellStyle name="Normal 6 2" xfId="67" xr:uid="{00000000-0005-0000-0000-000065000000}"/>
    <cellStyle name="Normal 7" xfId="15" xr:uid="{00000000-0005-0000-0000-000066000000}"/>
    <cellStyle name="Normal 7 2" xfId="68" xr:uid="{00000000-0005-0000-0000-000067000000}"/>
    <cellStyle name="Normal 8" xfId="17" xr:uid="{00000000-0005-0000-0000-000068000000}"/>
    <cellStyle name="Normal 8 2" xfId="70" xr:uid="{00000000-0005-0000-0000-000069000000}"/>
    <cellStyle name="Normal 9" xfId="20" xr:uid="{00000000-0005-0000-0000-00006A000000}"/>
    <cellStyle name="Normal 9 2" xfId="73" xr:uid="{00000000-0005-0000-0000-00006B000000}"/>
    <cellStyle name="Pourcentage" xfId="3" builtinId="5"/>
  </cellStyles>
  <dxfs count="17"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33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'Diurnal flow'!$B$8</c:f>
              <c:strCache>
                <c:ptCount val="1"/>
                <c:pt idx="0">
                  <c:v>small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'Diurnal flow'!$A$10:$A$33</c:f>
              <c:numCache>
                <c:formatCode>0.0000</c:formatCode>
                <c:ptCount val="24"/>
                <c:pt idx="0">
                  <c:v>0</c:v>
                </c:pt>
                <c:pt idx="1">
                  <c:v>4.1666666999999998E-2</c:v>
                </c:pt>
                <c:pt idx="2">
                  <c:v>8.3333332999999996E-2</c:v>
                </c:pt>
                <c:pt idx="3">
                  <c:v>0.125</c:v>
                </c:pt>
                <c:pt idx="4">
                  <c:v>0.16666666699999999</c:v>
                </c:pt>
                <c:pt idx="5">
                  <c:v>0.20833333300000001</c:v>
                </c:pt>
                <c:pt idx="6">
                  <c:v>0.25</c:v>
                </c:pt>
                <c:pt idx="7">
                  <c:v>0.29166666699999999</c:v>
                </c:pt>
                <c:pt idx="8">
                  <c:v>0.33333333300000001</c:v>
                </c:pt>
                <c:pt idx="9">
                  <c:v>0.375</c:v>
                </c:pt>
                <c:pt idx="10">
                  <c:v>0.41666666699999999</c:v>
                </c:pt>
                <c:pt idx="11">
                  <c:v>0.45833333300000001</c:v>
                </c:pt>
                <c:pt idx="12">
                  <c:v>0.5</c:v>
                </c:pt>
                <c:pt idx="13">
                  <c:v>0.54166666699999999</c:v>
                </c:pt>
                <c:pt idx="14">
                  <c:v>0.58333333300000001</c:v>
                </c:pt>
                <c:pt idx="15">
                  <c:v>0.625</c:v>
                </c:pt>
                <c:pt idx="16">
                  <c:v>0.66666666699999999</c:v>
                </c:pt>
                <c:pt idx="17">
                  <c:v>0.70833333300000001</c:v>
                </c:pt>
                <c:pt idx="18">
                  <c:v>0.75</c:v>
                </c:pt>
                <c:pt idx="19">
                  <c:v>0.79166666699999999</c:v>
                </c:pt>
                <c:pt idx="20">
                  <c:v>0.83333333300000001</c:v>
                </c:pt>
                <c:pt idx="21">
                  <c:v>0.875</c:v>
                </c:pt>
                <c:pt idx="22">
                  <c:v>0.91666666699999999</c:v>
                </c:pt>
                <c:pt idx="23">
                  <c:v>0.95833333300000001</c:v>
                </c:pt>
              </c:numCache>
            </c:numRef>
          </c:xVal>
          <c:yVal>
            <c:numRef>
              <c:f>'Diurnal flow'!$B$10:$B$33</c:f>
              <c:numCache>
                <c:formatCode>0.0000</c:formatCode>
                <c:ptCount val="24"/>
                <c:pt idx="0">
                  <c:v>0.92370848053769694</c:v>
                </c:pt>
                <c:pt idx="1">
                  <c:v>0.79842741753157853</c:v>
                </c:pt>
                <c:pt idx="2">
                  <c:v>0.67606828055988355</c:v>
                </c:pt>
                <c:pt idx="3">
                  <c:v>0.58386775266027691</c:v>
                </c:pt>
                <c:pt idx="4">
                  <c:v>0.54484137120169696</c:v>
                </c:pt>
                <c:pt idx="5">
                  <c:v>0.57173167120325918</c:v>
                </c:pt>
                <c:pt idx="6">
                  <c:v>0.66343808388767789</c:v>
                </c:pt>
                <c:pt idx="7">
                  <c:v>0.80489581033830182</c:v>
                </c:pt>
                <c:pt idx="8">
                  <c:v>0.97046447723580986</c:v>
                </c:pt>
                <c:pt idx="9">
                  <c:v>1.129962743485216</c:v>
                </c:pt>
                <c:pt idx="10">
                  <c:v>1.255788842063815</c:v>
                </c:pt>
                <c:pt idx="11">
                  <c:v>1.3292849806740759</c:v>
                </c:pt>
                <c:pt idx="12">
                  <c:v>1.3447105581983232</c:v>
                </c:pt>
                <c:pt idx="13">
                  <c:v>1.309829505464472</c:v>
                </c:pt>
                <c:pt idx="14">
                  <c:v>1.2430191716043275</c:v>
                </c:pt>
                <c:pt idx="15">
                  <c:v>1.1677306805222387</c:v>
                </c:pt>
                <c:pt idx="16">
                  <c:v>1.105827042226494</c:v>
                </c:pt>
                <c:pt idx="17">
                  <c:v>1.0716098389832069</c:v>
                </c:pt>
                <c:pt idx="18">
                  <c:v>1.0681428773763031</c:v>
                </c:pt>
                <c:pt idx="19">
                  <c:v>1.0868472666656483</c:v>
                </c:pt>
                <c:pt idx="20">
                  <c:v>1.11044807059998</c:v>
                </c:pt>
                <c:pt idx="21">
                  <c:v>1.1184388233322677</c:v>
                </c:pt>
                <c:pt idx="22">
                  <c:v>1.0935427445079926</c:v>
                </c:pt>
                <c:pt idx="23">
                  <c:v>1.0273735091394558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A4-4A61-A25E-1F2BA18F5D45}"/>
            </c:ext>
          </c:extLst>
        </c:ser>
        <c:ser>
          <c:idx val="1"/>
          <c:order val="1"/>
          <c:tx>
            <c:strRef>
              <c:f>'Diurnal flow'!$C$8</c:f>
              <c:strCache>
                <c:ptCount val="1"/>
                <c:pt idx="0">
                  <c:v>medium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'Diurnal flow'!$A$10:$A$33</c:f>
              <c:numCache>
                <c:formatCode>0.0000</c:formatCode>
                <c:ptCount val="24"/>
                <c:pt idx="0">
                  <c:v>0</c:v>
                </c:pt>
                <c:pt idx="1">
                  <c:v>4.1666666999999998E-2</c:v>
                </c:pt>
                <c:pt idx="2">
                  <c:v>8.3333332999999996E-2</c:v>
                </c:pt>
                <c:pt idx="3">
                  <c:v>0.125</c:v>
                </c:pt>
                <c:pt idx="4">
                  <c:v>0.16666666699999999</c:v>
                </c:pt>
                <c:pt idx="5">
                  <c:v>0.20833333300000001</c:v>
                </c:pt>
                <c:pt idx="6">
                  <c:v>0.25</c:v>
                </c:pt>
                <c:pt idx="7">
                  <c:v>0.29166666699999999</c:v>
                </c:pt>
                <c:pt idx="8">
                  <c:v>0.33333333300000001</c:v>
                </c:pt>
                <c:pt idx="9">
                  <c:v>0.375</c:v>
                </c:pt>
                <c:pt idx="10">
                  <c:v>0.41666666699999999</c:v>
                </c:pt>
                <c:pt idx="11">
                  <c:v>0.45833333300000001</c:v>
                </c:pt>
                <c:pt idx="12">
                  <c:v>0.5</c:v>
                </c:pt>
                <c:pt idx="13">
                  <c:v>0.54166666699999999</c:v>
                </c:pt>
                <c:pt idx="14">
                  <c:v>0.58333333300000001</c:v>
                </c:pt>
                <c:pt idx="15">
                  <c:v>0.625</c:v>
                </c:pt>
                <c:pt idx="16">
                  <c:v>0.66666666699999999</c:v>
                </c:pt>
                <c:pt idx="17">
                  <c:v>0.70833333300000001</c:v>
                </c:pt>
                <c:pt idx="18">
                  <c:v>0.75</c:v>
                </c:pt>
                <c:pt idx="19">
                  <c:v>0.79166666699999999</c:v>
                </c:pt>
                <c:pt idx="20">
                  <c:v>0.83333333300000001</c:v>
                </c:pt>
                <c:pt idx="21">
                  <c:v>0.875</c:v>
                </c:pt>
                <c:pt idx="22">
                  <c:v>0.91666666699999999</c:v>
                </c:pt>
                <c:pt idx="23">
                  <c:v>0.95833333300000001</c:v>
                </c:pt>
              </c:numCache>
            </c:numRef>
          </c:xVal>
          <c:yVal>
            <c:numRef>
              <c:f>'Diurnal flow'!$C$10:$C$33</c:f>
              <c:numCache>
                <c:formatCode>0.0000</c:formatCode>
                <c:ptCount val="24"/>
                <c:pt idx="0">
                  <c:v>0.96185424026884847</c:v>
                </c:pt>
                <c:pt idx="1">
                  <c:v>0.89921370876578921</c:v>
                </c:pt>
                <c:pt idx="2">
                  <c:v>0.83803414027994183</c:v>
                </c:pt>
                <c:pt idx="3">
                  <c:v>0.79193387633013845</c:v>
                </c:pt>
                <c:pt idx="4">
                  <c:v>0.77242068560084842</c:v>
                </c:pt>
                <c:pt idx="5">
                  <c:v>0.78586583560162959</c:v>
                </c:pt>
                <c:pt idx="6">
                  <c:v>0.83171904194383894</c:v>
                </c:pt>
                <c:pt idx="7">
                  <c:v>0.90244790516915097</c:v>
                </c:pt>
                <c:pt idx="8">
                  <c:v>0.98523223861790488</c:v>
                </c:pt>
                <c:pt idx="9">
                  <c:v>1.064981371742608</c:v>
                </c:pt>
                <c:pt idx="10">
                  <c:v>1.1278944210319075</c:v>
                </c:pt>
                <c:pt idx="11">
                  <c:v>1.1646424903370378</c:v>
                </c:pt>
                <c:pt idx="12">
                  <c:v>1.1723552790991616</c:v>
                </c:pt>
                <c:pt idx="13">
                  <c:v>1.1549147527322359</c:v>
                </c:pt>
                <c:pt idx="14">
                  <c:v>1.1215095858021638</c:v>
                </c:pt>
                <c:pt idx="15">
                  <c:v>1.0838653402611194</c:v>
                </c:pt>
                <c:pt idx="16">
                  <c:v>1.052913521113247</c:v>
                </c:pt>
                <c:pt idx="17">
                  <c:v>1.0358049194916035</c:v>
                </c:pt>
                <c:pt idx="18">
                  <c:v>1.0340714386881515</c:v>
                </c:pt>
                <c:pt idx="19">
                  <c:v>1.0434236333328242</c:v>
                </c:pt>
                <c:pt idx="20">
                  <c:v>1.05522403529999</c:v>
                </c:pt>
                <c:pt idx="21">
                  <c:v>1.0592194116661338</c:v>
                </c:pt>
                <c:pt idx="22">
                  <c:v>1.0467713722539962</c:v>
                </c:pt>
                <c:pt idx="23">
                  <c:v>1.0136867545697279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3A4-4A61-A25E-1F2BA18F5D45}"/>
            </c:ext>
          </c:extLst>
        </c:ser>
        <c:ser>
          <c:idx val="2"/>
          <c:order val="2"/>
          <c:tx>
            <c:strRef>
              <c:f>'Diurnal flow'!$D$8</c:f>
              <c:strCache>
                <c:ptCount val="1"/>
                <c:pt idx="0">
                  <c:v>large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'Diurnal flow'!$A$10:$A$33</c:f>
              <c:numCache>
                <c:formatCode>0.0000</c:formatCode>
                <c:ptCount val="24"/>
                <c:pt idx="0">
                  <c:v>0</c:v>
                </c:pt>
                <c:pt idx="1">
                  <c:v>4.1666666999999998E-2</c:v>
                </c:pt>
                <c:pt idx="2">
                  <c:v>8.3333332999999996E-2</c:v>
                </c:pt>
                <c:pt idx="3">
                  <c:v>0.125</c:v>
                </c:pt>
                <c:pt idx="4">
                  <c:v>0.16666666699999999</c:v>
                </c:pt>
                <c:pt idx="5">
                  <c:v>0.20833333300000001</c:v>
                </c:pt>
                <c:pt idx="6">
                  <c:v>0.25</c:v>
                </c:pt>
                <c:pt idx="7">
                  <c:v>0.29166666699999999</c:v>
                </c:pt>
                <c:pt idx="8">
                  <c:v>0.33333333300000001</c:v>
                </c:pt>
                <c:pt idx="9">
                  <c:v>0.375</c:v>
                </c:pt>
                <c:pt idx="10">
                  <c:v>0.41666666699999999</c:v>
                </c:pt>
                <c:pt idx="11">
                  <c:v>0.45833333300000001</c:v>
                </c:pt>
                <c:pt idx="12">
                  <c:v>0.5</c:v>
                </c:pt>
                <c:pt idx="13">
                  <c:v>0.54166666699999999</c:v>
                </c:pt>
                <c:pt idx="14">
                  <c:v>0.58333333300000001</c:v>
                </c:pt>
                <c:pt idx="15">
                  <c:v>0.625</c:v>
                </c:pt>
                <c:pt idx="16">
                  <c:v>0.66666666699999999</c:v>
                </c:pt>
                <c:pt idx="17">
                  <c:v>0.70833333300000001</c:v>
                </c:pt>
                <c:pt idx="18">
                  <c:v>0.75</c:v>
                </c:pt>
                <c:pt idx="19">
                  <c:v>0.79166666699999999</c:v>
                </c:pt>
                <c:pt idx="20">
                  <c:v>0.83333333300000001</c:v>
                </c:pt>
                <c:pt idx="21">
                  <c:v>0.875</c:v>
                </c:pt>
                <c:pt idx="22">
                  <c:v>0.91666666699999999</c:v>
                </c:pt>
                <c:pt idx="23">
                  <c:v>0.95833333300000001</c:v>
                </c:pt>
              </c:numCache>
            </c:numRef>
          </c:xVal>
          <c:yVal>
            <c:numRef>
              <c:f>'Diurnal flow'!$D$10:$D$33</c:f>
              <c:numCache>
                <c:formatCode>0.0000</c:formatCode>
                <c:ptCount val="24"/>
                <c:pt idx="0">
                  <c:v>0.98092712013442429</c:v>
                </c:pt>
                <c:pt idx="1">
                  <c:v>0.94960685438289461</c:v>
                </c:pt>
                <c:pt idx="2">
                  <c:v>0.91901707013997092</c:v>
                </c:pt>
                <c:pt idx="3">
                  <c:v>0.89596693816506923</c:v>
                </c:pt>
                <c:pt idx="4">
                  <c:v>0.88621034280042421</c:v>
                </c:pt>
                <c:pt idx="5">
                  <c:v>0.89293291780081474</c:v>
                </c:pt>
                <c:pt idx="6">
                  <c:v>0.91585952097191947</c:v>
                </c:pt>
                <c:pt idx="7">
                  <c:v>0.95122395258457548</c:v>
                </c:pt>
                <c:pt idx="8">
                  <c:v>0.99261611930895244</c:v>
                </c:pt>
                <c:pt idx="9">
                  <c:v>1.0324906858713039</c:v>
                </c:pt>
                <c:pt idx="10">
                  <c:v>1.0639472105159538</c:v>
                </c:pt>
                <c:pt idx="11">
                  <c:v>1.0823212451685189</c:v>
                </c:pt>
                <c:pt idx="12">
                  <c:v>1.0861776395495808</c:v>
                </c:pt>
                <c:pt idx="13">
                  <c:v>1.0774573763661179</c:v>
                </c:pt>
                <c:pt idx="14">
                  <c:v>1.0607547929010819</c:v>
                </c:pt>
                <c:pt idx="15">
                  <c:v>1.0419326701305596</c:v>
                </c:pt>
                <c:pt idx="16">
                  <c:v>1.0264567605566235</c:v>
                </c:pt>
                <c:pt idx="17">
                  <c:v>1.0179024597458017</c:v>
                </c:pt>
                <c:pt idx="18">
                  <c:v>1.0170357193440758</c:v>
                </c:pt>
                <c:pt idx="19">
                  <c:v>1.0217118166664121</c:v>
                </c:pt>
                <c:pt idx="20">
                  <c:v>1.027612017649995</c:v>
                </c:pt>
                <c:pt idx="21">
                  <c:v>1.0296097058330669</c:v>
                </c:pt>
                <c:pt idx="22">
                  <c:v>1.0233856861269981</c:v>
                </c:pt>
                <c:pt idx="23">
                  <c:v>1.0068433772848639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3A4-4A61-A25E-1F2BA18F5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144904"/>
        <c:axId val="545145296"/>
      </c:scatterChart>
      <c:valAx>
        <c:axId val="54514490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145296"/>
        <c:crosses val="autoZero"/>
        <c:crossBetween val="midCat"/>
      </c:valAx>
      <c:valAx>
        <c:axId val="54514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144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2</xdr:col>
      <xdr:colOff>3713186</xdr:colOff>
      <xdr:row>29</xdr:row>
      <xdr:rowOff>30483</xdr:rowOff>
    </xdr:to>
    <xdr:pic>
      <xdr:nvPicPr>
        <xdr:cNvPr id="2" name="Copyrigh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791075"/>
          <a:ext cx="4941911" cy="15544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261937</xdr:colOff>
      <xdr:row>9</xdr:row>
      <xdr:rowOff>134538</xdr:rowOff>
    </xdr:from>
    <xdr:to>
      <xdr:col>25</xdr:col>
      <xdr:colOff>547687</xdr:colOff>
      <xdr:row>33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dynamita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showRowColHeaders="0" tabSelected="1" zoomScaleNormal="100" workbookViewId="0"/>
  </sheetViews>
  <sheetFormatPr baseColWidth="10" defaultColWidth="9.140625" defaultRowHeight="15" x14ac:dyDescent="0.25"/>
  <cols>
    <col min="1" max="1" width="4" customWidth="1"/>
    <col min="2" max="2" width="18.42578125" bestFit="1" customWidth="1"/>
    <col min="3" max="3" width="115.28515625" bestFit="1" customWidth="1"/>
  </cols>
  <sheetData>
    <row r="1" spans="2:3" ht="15.75" thickBot="1" x14ac:dyDescent="0.3"/>
    <row r="2" spans="2:3" ht="19.5" thickBot="1" x14ac:dyDescent="0.35">
      <c r="B2" s="427" t="s">
        <v>88</v>
      </c>
      <c r="C2" s="428" t="s">
        <v>327</v>
      </c>
    </row>
    <row r="3" spans="2:3" ht="15.75" thickBot="1" x14ac:dyDescent="0.3"/>
    <row r="4" spans="2:3" ht="18.75" x14ac:dyDescent="0.3">
      <c r="B4" s="429" t="s">
        <v>62</v>
      </c>
      <c r="C4" s="430" t="s">
        <v>63</v>
      </c>
    </row>
    <row r="5" spans="2:3" ht="18.75" x14ac:dyDescent="0.3">
      <c r="B5" s="431" t="s">
        <v>171</v>
      </c>
      <c r="C5" s="432" t="s">
        <v>172</v>
      </c>
    </row>
    <row r="6" spans="2:3" ht="18.75" x14ac:dyDescent="0.3">
      <c r="B6" s="433" t="s">
        <v>61</v>
      </c>
      <c r="C6" s="434" t="s">
        <v>89</v>
      </c>
    </row>
    <row r="7" spans="2:3" ht="18.75" x14ac:dyDescent="0.3">
      <c r="B7" s="433" t="s">
        <v>114</v>
      </c>
      <c r="C7" s="434" t="s">
        <v>82</v>
      </c>
    </row>
    <row r="8" spans="2:3" ht="18.75" x14ac:dyDescent="0.3">
      <c r="B8" s="433" t="s">
        <v>168</v>
      </c>
      <c r="C8" s="434" t="s">
        <v>328</v>
      </c>
    </row>
    <row r="9" spans="2:3" ht="18.75" x14ac:dyDescent="0.3">
      <c r="B9" s="433" t="s">
        <v>65</v>
      </c>
      <c r="C9" s="434" t="s">
        <v>226</v>
      </c>
    </row>
    <row r="10" spans="2:3" ht="18.75" x14ac:dyDescent="0.3">
      <c r="B10" s="433" t="s">
        <v>144</v>
      </c>
      <c r="C10" s="434" t="s">
        <v>64</v>
      </c>
    </row>
    <row r="11" spans="2:3" ht="19.5" thickBot="1" x14ac:dyDescent="0.35">
      <c r="B11" s="435" t="s">
        <v>169</v>
      </c>
      <c r="C11" s="436" t="s">
        <v>170</v>
      </c>
    </row>
    <row r="12" spans="2:3" ht="15.75" thickBot="1" x14ac:dyDescent="0.3"/>
    <row r="13" spans="2:3" ht="18.75" x14ac:dyDescent="0.3">
      <c r="B13" s="429" t="s">
        <v>83</v>
      </c>
      <c r="C13" s="430" t="s">
        <v>84</v>
      </c>
    </row>
    <row r="14" spans="2:3" ht="18.75" x14ac:dyDescent="0.3">
      <c r="B14" s="437" t="s">
        <v>66</v>
      </c>
      <c r="C14" s="434" t="s">
        <v>68</v>
      </c>
    </row>
    <row r="15" spans="2:3" ht="18.75" x14ac:dyDescent="0.3">
      <c r="B15" s="438" t="s">
        <v>67</v>
      </c>
      <c r="C15" s="434" t="s">
        <v>86</v>
      </c>
    </row>
    <row r="16" spans="2:3" ht="18.75" x14ac:dyDescent="0.3">
      <c r="B16" s="439" t="s">
        <v>85</v>
      </c>
      <c r="C16" s="434" t="s">
        <v>87</v>
      </c>
    </row>
    <row r="17" spans="1:3" ht="19.5" thickBot="1" x14ac:dyDescent="0.35">
      <c r="B17" s="440" t="s">
        <v>135</v>
      </c>
      <c r="C17" s="436" t="s">
        <v>136</v>
      </c>
    </row>
    <row r="18" spans="1:3" ht="15.75" thickBot="1" x14ac:dyDescent="0.3"/>
    <row r="19" spans="1:3" ht="19.5" thickBot="1" x14ac:dyDescent="0.35">
      <c r="B19" s="427" t="s">
        <v>122</v>
      </c>
      <c r="C19" s="441" t="s">
        <v>408</v>
      </c>
    </row>
    <row r="30" spans="1:3" x14ac:dyDescent="0.25">
      <c r="A30" s="240"/>
      <c r="B30" s="442" t="s">
        <v>417</v>
      </c>
    </row>
  </sheetData>
  <sheetProtection selectLockedCells="1" selectUnlockedCells="1"/>
  <hyperlinks>
    <hyperlink ref="B30" r:id="rId1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31"/>
  <sheetViews>
    <sheetView showGridLines="0" zoomScaleNormal="100" workbookViewId="0">
      <selection activeCell="C25" sqref="C25"/>
    </sheetView>
  </sheetViews>
  <sheetFormatPr baseColWidth="10" defaultColWidth="9.140625" defaultRowHeight="15" x14ac:dyDescent="0.25"/>
  <cols>
    <col min="1" max="1" width="4.7109375" style="60" customWidth="1"/>
    <col min="2" max="2" width="31" style="60" customWidth="1"/>
    <col min="3" max="3" width="16.140625" style="60" customWidth="1"/>
    <col min="4" max="4" width="13.85546875" style="60" customWidth="1"/>
    <col min="5" max="5" width="9.140625" style="60"/>
    <col min="6" max="6" width="38.5703125" style="59" customWidth="1"/>
    <col min="7" max="7" width="11.5703125" style="59" bestFit="1" customWidth="1"/>
    <col min="8" max="8" width="17.28515625" style="59" customWidth="1"/>
    <col min="9" max="9" width="18.140625" style="59" customWidth="1"/>
    <col min="10" max="11" width="9.140625" style="60"/>
    <col min="12" max="12" width="13.42578125" style="60" bestFit="1" customWidth="1"/>
    <col min="13" max="13" width="59.5703125" style="60" customWidth="1"/>
    <col min="14" max="14" width="21.140625" style="60" customWidth="1"/>
    <col min="15" max="16384" width="9.140625" style="60"/>
  </cols>
  <sheetData>
    <row r="1" spans="2:15" ht="15.75" thickBot="1" x14ac:dyDescent="0.3"/>
    <row r="2" spans="2:15" ht="18.75" customHeight="1" thickBot="1" x14ac:dyDescent="0.3">
      <c r="B2" s="192" t="s">
        <v>46</v>
      </c>
      <c r="C2" s="170" t="s">
        <v>39</v>
      </c>
      <c r="D2" s="171" t="s">
        <v>1</v>
      </c>
      <c r="F2" s="189" t="s">
        <v>130</v>
      </c>
      <c r="G2" s="182" t="s">
        <v>39</v>
      </c>
      <c r="H2" s="182" t="s">
        <v>1</v>
      </c>
      <c r="I2" s="183" t="s">
        <v>126</v>
      </c>
    </row>
    <row r="3" spans="2:15" ht="18.75" customHeight="1" x14ac:dyDescent="0.25">
      <c r="B3" s="184" t="s">
        <v>38</v>
      </c>
      <c r="C3" s="185">
        <v>24000</v>
      </c>
      <c r="D3" s="164" t="s">
        <v>132</v>
      </c>
      <c r="F3" s="186"/>
      <c r="G3" s="187"/>
      <c r="H3" s="187"/>
      <c r="I3" s="188"/>
    </row>
    <row r="4" spans="2:15" ht="18.75" customHeight="1" x14ac:dyDescent="0.25">
      <c r="B4" s="105" t="s">
        <v>42</v>
      </c>
      <c r="C4" s="26">
        <v>185</v>
      </c>
      <c r="D4" s="63" t="s">
        <v>45</v>
      </c>
      <c r="F4" s="209" t="s">
        <v>224</v>
      </c>
      <c r="G4" s="95">
        <f>C5/C4*100</f>
        <v>84.86486486486487</v>
      </c>
      <c r="H4" s="64" t="s">
        <v>111</v>
      </c>
      <c r="I4" s="109">
        <v>85</v>
      </c>
    </row>
    <row r="5" spans="2:15" ht="18.75" customHeight="1" x14ac:dyDescent="0.25">
      <c r="B5" s="105" t="s">
        <v>43</v>
      </c>
      <c r="C5" s="26">
        <v>157</v>
      </c>
      <c r="D5" s="63" t="s">
        <v>45</v>
      </c>
      <c r="F5" s="110" t="s">
        <v>131</v>
      </c>
      <c r="G5" s="111">
        <f>(C14-C15)/C5</f>
        <v>1.5923566878980893</v>
      </c>
      <c r="H5" s="112" t="s">
        <v>147</v>
      </c>
      <c r="I5" s="109">
        <v>1.6</v>
      </c>
    </row>
    <row r="6" spans="2:15" ht="18.75" customHeight="1" x14ac:dyDescent="0.25">
      <c r="B6" s="113" t="s">
        <v>234</v>
      </c>
      <c r="C6" s="27">
        <v>800</v>
      </c>
      <c r="D6" s="114" t="s">
        <v>45</v>
      </c>
      <c r="E6" s="115"/>
      <c r="F6" s="116" t="s">
        <v>235</v>
      </c>
      <c r="G6" s="117">
        <f>C6-C4</f>
        <v>615</v>
      </c>
      <c r="H6" s="118" t="s">
        <v>45</v>
      </c>
      <c r="I6" s="119"/>
    </row>
    <row r="7" spans="2:15" ht="18.75" customHeight="1" x14ac:dyDescent="0.25">
      <c r="B7" s="105" t="s">
        <v>17</v>
      </c>
      <c r="C7" s="26">
        <v>34.4</v>
      </c>
      <c r="D7" s="63" t="s">
        <v>159</v>
      </c>
      <c r="F7" s="120"/>
      <c r="G7" s="108"/>
      <c r="H7" s="78"/>
      <c r="I7" s="109"/>
    </row>
    <row r="8" spans="2:15" ht="18.75" customHeight="1" x14ac:dyDescent="0.25">
      <c r="B8" s="105" t="s">
        <v>41</v>
      </c>
      <c r="C8" s="26">
        <v>4.3</v>
      </c>
      <c r="D8" s="63" t="s">
        <v>44</v>
      </c>
      <c r="F8" s="120"/>
      <c r="G8" s="108"/>
      <c r="H8" s="78"/>
      <c r="I8" s="109"/>
    </row>
    <row r="9" spans="2:15" ht="18.75" customHeight="1" x14ac:dyDescent="0.25">
      <c r="B9" s="113" t="s">
        <v>59</v>
      </c>
      <c r="C9" s="27">
        <v>20</v>
      </c>
      <c r="D9" s="114" t="s">
        <v>60</v>
      </c>
      <c r="E9" s="121"/>
      <c r="F9" s="116"/>
      <c r="G9" s="122"/>
      <c r="H9" s="118"/>
      <c r="I9" s="119"/>
    </row>
    <row r="10" spans="2:15" s="65" customFormat="1" ht="18.75" customHeight="1" x14ac:dyDescent="0.25">
      <c r="B10" s="61" t="s">
        <v>19</v>
      </c>
      <c r="C10" s="26">
        <v>330</v>
      </c>
      <c r="D10" s="63" t="s">
        <v>197</v>
      </c>
      <c r="F10" s="107" t="s">
        <v>79</v>
      </c>
      <c r="G10" s="95">
        <f>C10/50</f>
        <v>6.6</v>
      </c>
      <c r="H10" s="123" t="s">
        <v>51</v>
      </c>
      <c r="I10" s="124" t="s">
        <v>123</v>
      </c>
      <c r="L10" s="60"/>
      <c r="M10" s="60"/>
      <c r="N10" s="60"/>
      <c r="O10" s="60"/>
    </row>
    <row r="11" spans="2:15" ht="18.75" customHeight="1" thickBot="1" x14ac:dyDescent="0.3">
      <c r="B11" s="66" t="s">
        <v>20</v>
      </c>
      <c r="C11" s="28">
        <v>7.2</v>
      </c>
      <c r="D11" s="68" t="s">
        <v>21</v>
      </c>
      <c r="F11" s="193"/>
      <c r="G11" s="190"/>
      <c r="H11" s="194"/>
      <c r="I11" s="191"/>
    </row>
    <row r="12" spans="2:15" ht="18.75" customHeight="1" thickBot="1" x14ac:dyDescent="0.3">
      <c r="C12" s="59"/>
      <c r="D12" s="59"/>
      <c r="F12" s="60"/>
      <c r="G12" s="60"/>
      <c r="H12" s="60"/>
      <c r="I12" s="60"/>
    </row>
    <row r="13" spans="2:15" ht="18.75" customHeight="1" thickBot="1" x14ac:dyDescent="0.3">
      <c r="B13" s="181" t="s">
        <v>50</v>
      </c>
      <c r="C13" s="170" t="s">
        <v>39</v>
      </c>
      <c r="D13" s="171" t="s">
        <v>1</v>
      </c>
      <c r="F13" s="181" t="s">
        <v>194</v>
      </c>
      <c r="G13" s="182" t="s">
        <v>39</v>
      </c>
      <c r="H13" s="182" t="s">
        <v>1</v>
      </c>
      <c r="I13" s="183" t="s">
        <v>126</v>
      </c>
    </row>
    <row r="14" spans="2:15" ht="18.75" customHeight="1" x14ac:dyDescent="0.25">
      <c r="B14" s="144" t="s">
        <v>56</v>
      </c>
      <c r="C14" s="145">
        <v>420</v>
      </c>
      <c r="D14" s="146" t="s">
        <v>71</v>
      </c>
      <c r="F14" s="149" t="s">
        <v>129</v>
      </c>
      <c r="G14" s="224">
        <f>C14-C15</f>
        <v>250</v>
      </c>
      <c r="H14" s="225" t="s">
        <v>71</v>
      </c>
      <c r="I14" s="127"/>
    </row>
    <row r="15" spans="2:15" ht="18.75" customHeight="1" x14ac:dyDescent="0.25">
      <c r="B15" s="105" t="s">
        <v>55</v>
      </c>
      <c r="C15" s="26">
        <v>170</v>
      </c>
      <c r="D15" s="63" t="s">
        <v>71</v>
      </c>
      <c r="F15" s="107" t="s">
        <v>52</v>
      </c>
      <c r="G15" s="95">
        <f>C15/C14*100</f>
        <v>40.476190476190474</v>
      </c>
      <c r="H15" s="64" t="s">
        <v>111</v>
      </c>
      <c r="I15" s="109">
        <v>40</v>
      </c>
    </row>
    <row r="16" spans="2:15" ht="18.75" customHeight="1" x14ac:dyDescent="0.25">
      <c r="B16" s="105" t="s">
        <v>54</v>
      </c>
      <c r="C16" s="26">
        <v>85</v>
      </c>
      <c r="D16" s="63" t="s">
        <v>71</v>
      </c>
      <c r="F16" s="107" t="s">
        <v>75</v>
      </c>
      <c r="G16" s="95">
        <f>C16/C14*100</f>
        <v>20.238095238095237</v>
      </c>
      <c r="H16" s="64" t="s">
        <v>111</v>
      </c>
      <c r="I16" s="109">
        <v>20</v>
      </c>
    </row>
    <row r="17" spans="2:9" ht="18.75" customHeight="1" x14ac:dyDescent="0.25">
      <c r="B17" s="105" t="s">
        <v>57</v>
      </c>
      <c r="C17" s="26">
        <v>20</v>
      </c>
      <c r="D17" s="63" t="s">
        <v>71</v>
      </c>
      <c r="F17" s="110" t="s">
        <v>137</v>
      </c>
      <c r="G17" s="95">
        <f>C17/C15*100</f>
        <v>11.76470588235294</v>
      </c>
      <c r="H17" s="64" t="s">
        <v>111</v>
      </c>
      <c r="I17" s="219" t="s">
        <v>233</v>
      </c>
    </row>
    <row r="18" spans="2:9" ht="18.75" customHeight="1" thickBot="1" x14ac:dyDescent="0.3">
      <c r="B18" s="125" t="s">
        <v>146</v>
      </c>
      <c r="C18" s="28">
        <v>200</v>
      </c>
      <c r="D18" s="68" t="s">
        <v>196</v>
      </c>
      <c r="F18" s="107" t="s">
        <v>58</v>
      </c>
      <c r="G18" s="108">
        <f>C14/C18</f>
        <v>2.1</v>
      </c>
      <c r="H18" s="64" t="s">
        <v>21</v>
      </c>
      <c r="I18" s="109">
        <v>2.2000000000000002</v>
      </c>
    </row>
    <row r="19" spans="2:9" ht="18.75" customHeight="1" thickBot="1" x14ac:dyDescent="0.3">
      <c r="B19" s="221"/>
      <c r="C19" s="220"/>
      <c r="D19" s="102"/>
      <c r="F19" s="226" t="s">
        <v>236</v>
      </c>
      <c r="G19" s="190">
        <f>C18/C4</f>
        <v>1.0810810810810811</v>
      </c>
      <c r="H19" s="67" t="s">
        <v>21</v>
      </c>
      <c r="I19" s="191">
        <v>1.1000000000000001</v>
      </c>
    </row>
    <row r="20" spans="2:9" ht="18.75" customHeight="1" thickBot="1" x14ac:dyDescent="0.3">
      <c r="B20" s="126"/>
      <c r="C20" s="72"/>
      <c r="D20" s="72"/>
      <c r="F20" s="60"/>
      <c r="G20" s="60"/>
      <c r="H20" s="60"/>
      <c r="I20" s="60"/>
    </row>
    <row r="21" spans="2:9" ht="18.75" customHeight="1" thickBot="1" x14ac:dyDescent="0.3">
      <c r="B21" s="143" t="s">
        <v>53</v>
      </c>
      <c r="C21" s="88" t="s">
        <v>39</v>
      </c>
      <c r="D21" s="89" t="s">
        <v>1</v>
      </c>
      <c r="F21" s="143" t="s">
        <v>193</v>
      </c>
      <c r="G21" s="86" t="s">
        <v>39</v>
      </c>
      <c r="H21" s="86" t="s">
        <v>1</v>
      </c>
      <c r="I21" s="104" t="s">
        <v>126</v>
      </c>
    </row>
    <row r="22" spans="2:9" ht="18.75" customHeight="1" x14ac:dyDescent="0.25">
      <c r="B22" s="144" t="s">
        <v>47</v>
      </c>
      <c r="C22" s="145">
        <v>20</v>
      </c>
      <c r="D22" s="146" t="s">
        <v>71</v>
      </c>
      <c r="F22" s="149" t="s">
        <v>23</v>
      </c>
      <c r="G22" s="93">
        <f>C22/C15*100</f>
        <v>11.76470588235294</v>
      </c>
      <c r="H22" s="150" t="s">
        <v>111</v>
      </c>
      <c r="I22" s="222" t="s">
        <v>237</v>
      </c>
    </row>
    <row r="23" spans="2:9" ht="18.75" customHeight="1" x14ac:dyDescent="0.25">
      <c r="B23" s="105" t="s">
        <v>48</v>
      </c>
      <c r="C23" s="26">
        <v>24</v>
      </c>
      <c r="D23" s="63" t="s">
        <v>159</v>
      </c>
      <c r="F23" s="110" t="s">
        <v>133</v>
      </c>
      <c r="G23" s="95">
        <f>C23/C7*100</f>
        <v>69.767441860465112</v>
      </c>
      <c r="H23" s="64" t="s">
        <v>111</v>
      </c>
      <c r="I23" s="219" t="s">
        <v>238</v>
      </c>
    </row>
    <row r="24" spans="2:9" ht="18.75" customHeight="1" x14ac:dyDescent="0.25">
      <c r="B24" s="105" t="s">
        <v>49</v>
      </c>
      <c r="C24" s="26">
        <v>2</v>
      </c>
      <c r="D24" s="63" t="s">
        <v>160</v>
      </c>
      <c r="F24" s="110" t="s">
        <v>134</v>
      </c>
      <c r="G24" s="95">
        <f>C24/C8*100</f>
        <v>46.511627906976742</v>
      </c>
      <c r="H24" s="64" t="s">
        <v>111</v>
      </c>
      <c r="I24" s="219" t="s">
        <v>239</v>
      </c>
    </row>
    <row r="25" spans="2:9" ht="18.75" customHeight="1" x14ac:dyDescent="0.25">
      <c r="B25" s="105" t="s">
        <v>302</v>
      </c>
      <c r="C25" s="26">
        <v>0</v>
      </c>
      <c r="D25" s="63" t="s">
        <v>159</v>
      </c>
      <c r="F25" s="106"/>
      <c r="G25" s="128"/>
      <c r="H25" s="78"/>
      <c r="I25" s="129"/>
    </row>
    <row r="26" spans="2:9" ht="18.75" customHeight="1" thickBot="1" x14ac:dyDescent="0.3">
      <c r="B26" s="105" t="s">
        <v>303</v>
      </c>
      <c r="C26" s="26">
        <v>0</v>
      </c>
      <c r="D26" s="63" t="s">
        <v>159</v>
      </c>
      <c r="F26" s="66" t="s">
        <v>148</v>
      </c>
      <c r="G26" s="98">
        <f>G6-C27-C28-C25-C24-C29-C26</f>
        <v>432</v>
      </c>
      <c r="H26" s="77" t="s">
        <v>45</v>
      </c>
      <c r="I26" s="195" t="s">
        <v>177</v>
      </c>
    </row>
    <row r="27" spans="2:9" ht="18.75" customHeight="1" x14ac:dyDescent="0.25">
      <c r="B27" s="147" t="s">
        <v>124</v>
      </c>
      <c r="C27" s="29">
        <v>150</v>
      </c>
      <c r="D27" s="130" t="s">
        <v>45</v>
      </c>
      <c r="F27" s="101"/>
      <c r="G27" s="179"/>
      <c r="H27" s="102"/>
      <c r="I27" s="180"/>
    </row>
    <row r="28" spans="2:9" ht="18.75" customHeight="1" x14ac:dyDescent="0.25">
      <c r="B28" s="74" t="s">
        <v>11</v>
      </c>
      <c r="C28" s="29">
        <v>15</v>
      </c>
      <c r="D28" s="130" t="s">
        <v>45</v>
      </c>
      <c r="F28" s="60"/>
      <c r="G28" s="60"/>
      <c r="H28" s="60"/>
      <c r="I28" s="60"/>
    </row>
    <row r="29" spans="2:9" ht="18.75" customHeight="1" x14ac:dyDescent="0.25">
      <c r="B29" s="74" t="s">
        <v>184</v>
      </c>
      <c r="C29" s="29">
        <v>16</v>
      </c>
      <c r="D29" s="130" t="s">
        <v>45</v>
      </c>
      <c r="F29" s="60"/>
      <c r="G29" s="60"/>
      <c r="H29" s="60"/>
      <c r="I29" s="60"/>
    </row>
    <row r="30" spans="2:9" ht="18.75" customHeight="1" x14ac:dyDescent="0.25">
      <c r="B30" s="177" t="s">
        <v>178</v>
      </c>
      <c r="C30" s="178">
        <v>300</v>
      </c>
      <c r="D30" s="130" t="s">
        <v>45</v>
      </c>
    </row>
    <row r="31" spans="2:9" ht="18.75" customHeight="1" thickBot="1" x14ac:dyDescent="0.3">
      <c r="B31" s="148" t="s">
        <v>192</v>
      </c>
      <c r="C31" s="30">
        <v>110</v>
      </c>
      <c r="D31" s="131" t="s">
        <v>45</v>
      </c>
    </row>
  </sheetData>
  <sheetProtection selectLockedCells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1"/>
  <sheetViews>
    <sheetView showGridLines="0" zoomScale="70" zoomScaleNormal="70" workbookViewId="0">
      <selection activeCell="D13" sqref="D13"/>
    </sheetView>
  </sheetViews>
  <sheetFormatPr baseColWidth="10" defaultColWidth="9.140625" defaultRowHeight="18.75" customHeight="1" x14ac:dyDescent="0.25"/>
  <cols>
    <col min="1" max="1" width="4" style="84" customWidth="1"/>
    <col min="2" max="2" width="87.140625" style="84" bestFit="1" customWidth="1"/>
    <col min="3" max="3" width="13.28515625" style="84" customWidth="1"/>
    <col min="4" max="4" width="20.7109375" style="84" customWidth="1"/>
    <col min="5" max="5" width="7.140625" style="84" customWidth="1"/>
    <col min="6" max="6" width="42.140625" style="84" customWidth="1"/>
    <col min="7" max="7" width="17.140625" style="84" customWidth="1"/>
    <col min="8" max="8" width="20.7109375" style="84" customWidth="1"/>
    <col min="9" max="9" width="17.85546875" style="84" customWidth="1"/>
    <col min="10" max="16384" width="9.140625" style="84"/>
  </cols>
  <sheetData>
    <row r="1" spans="2:9" ht="18.95" customHeight="1" thickBot="1" x14ac:dyDescent="0.3">
      <c r="D1" s="85"/>
    </row>
    <row r="2" spans="2:9" ht="36" customHeight="1" thickBot="1" x14ac:dyDescent="0.3">
      <c r="B2" s="169" t="s">
        <v>127</v>
      </c>
      <c r="C2" s="182" t="s">
        <v>222</v>
      </c>
      <c r="D2" s="171" t="s">
        <v>225</v>
      </c>
      <c r="F2" s="87" t="s">
        <v>115</v>
      </c>
      <c r="G2" s="88" t="s">
        <v>74</v>
      </c>
      <c r="H2" s="88" t="s">
        <v>73</v>
      </c>
      <c r="I2" s="89" t="s">
        <v>121</v>
      </c>
    </row>
    <row r="3" spans="2:9" ht="18.95" customHeight="1" x14ac:dyDescent="0.25">
      <c r="B3" s="229" t="s">
        <v>245</v>
      </c>
      <c r="C3" s="168">
        <v>40.5</v>
      </c>
      <c r="D3" s="210">
        <f>Data!G15</f>
        <v>40.476190476190474</v>
      </c>
      <c r="F3" s="91" t="s">
        <v>56</v>
      </c>
      <c r="G3" s="92">
        <f>Data!C14</f>
        <v>420</v>
      </c>
      <c r="H3" s="93">
        <f>G3</f>
        <v>420</v>
      </c>
      <c r="I3" s="94" t="str">
        <f>IF(ABS((H3-G3)/H3)&lt;Calculations!$C$9,Calculations!$C$8,IF(ABS((H3-G3)/G3)&gt;Calculations!$E$9,Calculations!$E$8,Calculations!$D$8))</f>
        <v>good match</v>
      </c>
    </row>
    <row r="4" spans="2:9" ht="18.95" customHeight="1" x14ac:dyDescent="0.25">
      <c r="B4" s="227" t="s">
        <v>246</v>
      </c>
      <c r="C4" s="62">
        <v>20.2</v>
      </c>
      <c r="D4" s="211">
        <f>Data!G16</f>
        <v>20.238095238095237</v>
      </c>
      <c r="F4" s="61" t="s">
        <v>76</v>
      </c>
      <c r="G4" s="62">
        <f>Data!C15</f>
        <v>170</v>
      </c>
      <c r="H4" s="95">
        <f>G3*D3/100</f>
        <v>170</v>
      </c>
      <c r="I4" s="96" t="str">
        <f>IF(ABS((H4-G4)/H4)&lt;Calculations!$C$9,Calculations!$C$8,IF(ABS((H4-G4)/G4)&gt;Calculations!$E$9,Calculations!$E$8,Calculations!$D$8))</f>
        <v>good match</v>
      </c>
    </row>
    <row r="5" spans="2:9" ht="18.95" customHeight="1" x14ac:dyDescent="0.25">
      <c r="B5" s="227" t="s">
        <v>247</v>
      </c>
      <c r="C5" s="62">
        <v>11.8</v>
      </c>
      <c r="D5" s="211">
        <f>Data!G22</f>
        <v>11.76470588235294</v>
      </c>
      <c r="F5" s="61" t="s">
        <v>77</v>
      </c>
      <c r="G5" s="62">
        <f>Data!C16</f>
        <v>85</v>
      </c>
      <c r="H5" s="95">
        <f>G3*D4/100</f>
        <v>85</v>
      </c>
      <c r="I5" s="96" t="str">
        <f>IF(ABS((H5-G5)/H5)&lt;Calculations!$C$9,Calculations!$C$8,IF(ABS((H5-G5)/G5)&gt;Calculations!$E$9,Calculations!$E$8,Calculations!$D$8))</f>
        <v>good match</v>
      </c>
    </row>
    <row r="6" spans="2:9" ht="18.95" customHeight="1" thickBot="1" x14ac:dyDescent="0.3">
      <c r="B6" s="228" t="s">
        <v>248</v>
      </c>
      <c r="C6" s="97">
        <v>11.8</v>
      </c>
      <c r="D6" s="212">
        <f>Data!G17</f>
        <v>11.76470588235294</v>
      </c>
      <c r="F6" s="61" t="s">
        <v>78</v>
      </c>
      <c r="G6" s="62">
        <f>Data!C18</f>
        <v>200</v>
      </c>
      <c r="H6" s="95">
        <f>Calculations!D5</f>
        <v>184.15749999999997</v>
      </c>
      <c r="I6" s="96" t="str">
        <f>IF(ABS((H6-G6)/H6)&lt;Calculations!$C$10,Calculations!$C$8,IF(ABS((H6-G6)/G6)&gt;Calculations!$E$10,Calculations!$E$8,Calculations!$D$8))</f>
        <v>good match</v>
      </c>
    </row>
    <row r="7" spans="2:9" ht="18.95" customHeight="1" x14ac:dyDescent="0.25">
      <c r="F7" s="61" t="s">
        <v>42</v>
      </c>
      <c r="G7" s="62">
        <f>Data!C4</f>
        <v>185</v>
      </c>
      <c r="H7" s="95">
        <f>H8/Data!G4*100</f>
        <v>186.18227982596562</v>
      </c>
      <c r="I7" s="96" t="str">
        <f>IF(ABS((H7-G7)/H7)&lt;Calculations!$C$11,Calculations!$C$8,IF(ABS((H7-G7)/G7)&gt;Calculations!$E$11,Calculations!$E$8,Calculations!$D$8))</f>
        <v>good match</v>
      </c>
    </row>
    <row r="8" spans="2:9" ht="18.95" customHeight="1" thickBot="1" x14ac:dyDescent="0.3">
      <c r="F8" s="66" t="s">
        <v>43</v>
      </c>
      <c r="G8" s="97">
        <f>Data!C5</f>
        <v>157</v>
      </c>
      <c r="H8" s="98">
        <f>(SUM(Balances!C17:C23)+Balances!C11+Balances!C12)/D22+Balances!C7/D23+Balances!C10/D24+Balances!C13/D25+Balances!C24/Balances!K27</f>
        <v>158.0033401766303</v>
      </c>
      <c r="I8" s="99" t="str">
        <f>IF(ABS((H8-G8)/H8)&lt;Calculations!$C$11,Calculations!$C$8,IF(ABS((H8-G8)/G8)&gt;Calculations!$E$11,Calculations!$E$8,Calculations!$D$8))</f>
        <v>good match</v>
      </c>
    </row>
    <row r="9" spans="2:9" ht="36" customHeight="1" thickBot="1" x14ac:dyDescent="0.3">
      <c r="B9" s="332" t="s">
        <v>128</v>
      </c>
      <c r="C9" s="152" t="s">
        <v>222</v>
      </c>
      <c r="D9" s="89" t="s">
        <v>223</v>
      </c>
    </row>
    <row r="10" spans="2:9" ht="18.95" customHeight="1" thickBot="1" x14ac:dyDescent="0.3">
      <c r="B10" s="235" t="s">
        <v>249</v>
      </c>
      <c r="C10" s="153">
        <v>14</v>
      </c>
      <c r="D10" s="154">
        <v>14</v>
      </c>
      <c r="F10" s="487" t="s">
        <v>315</v>
      </c>
      <c r="G10" s="488"/>
      <c r="H10" s="88" t="s">
        <v>39</v>
      </c>
      <c r="I10" s="89" t="s">
        <v>1</v>
      </c>
    </row>
    <row r="11" spans="2:9" ht="18.95" customHeight="1" x14ac:dyDescent="0.25">
      <c r="B11" s="234" t="s">
        <v>313</v>
      </c>
      <c r="C11" s="90">
        <v>10</v>
      </c>
      <c r="D11" s="82">
        <v>10</v>
      </c>
      <c r="F11" s="491" t="s">
        <v>317</v>
      </c>
      <c r="G11" s="492"/>
      <c r="H11" s="325">
        <f>Balances!C4</f>
        <v>18</v>
      </c>
      <c r="I11" s="146" t="s">
        <v>71</v>
      </c>
    </row>
    <row r="12" spans="2:9" ht="18.95" customHeight="1" x14ac:dyDescent="0.25">
      <c r="B12" s="275" t="s">
        <v>314</v>
      </c>
      <c r="C12" s="90">
        <v>90</v>
      </c>
      <c r="D12" s="82">
        <v>90</v>
      </c>
      <c r="F12" s="489" t="s">
        <v>318</v>
      </c>
      <c r="G12" s="490"/>
      <c r="H12" s="326">
        <f>Balances!C5</f>
        <v>27</v>
      </c>
      <c r="I12" s="63" t="s">
        <v>71</v>
      </c>
    </row>
    <row r="13" spans="2:9" ht="18.95" customHeight="1" x14ac:dyDescent="0.25">
      <c r="B13" s="234" t="s">
        <v>326</v>
      </c>
      <c r="C13" s="90">
        <v>20</v>
      </c>
      <c r="D13" s="82">
        <v>5</v>
      </c>
      <c r="F13" s="483" t="s">
        <v>312</v>
      </c>
      <c r="G13" s="484"/>
      <c r="H13" s="326">
        <f>Balances!C11</f>
        <v>4.2</v>
      </c>
      <c r="I13" s="63" t="s">
        <v>71</v>
      </c>
    </row>
    <row r="14" spans="2:9" ht="18.95" customHeight="1" thickBot="1" x14ac:dyDescent="0.3">
      <c r="B14" s="234" t="s">
        <v>250</v>
      </c>
      <c r="C14" s="90">
        <v>20</v>
      </c>
      <c r="D14" s="82">
        <v>20</v>
      </c>
      <c r="F14" s="485" t="s">
        <v>316</v>
      </c>
      <c r="G14" s="486"/>
      <c r="H14" s="327">
        <f>Balances!C12</f>
        <v>37.799999999999997</v>
      </c>
      <c r="I14" s="68" t="s">
        <v>71</v>
      </c>
    </row>
    <row r="15" spans="2:9" ht="18.95" customHeight="1" thickBot="1" x14ac:dyDescent="0.3">
      <c r="B15" s="275" t="s">
        <v>319</v>
      </c>
      <c r="C15" s="90">
        <v>40</v>
      </c>
      <c r="D15" s="82">
        <v>40</v>
      </c>
    </row>
    <row r="16" spans="2:9" ht="18.95" customHeight="1" thickBot="1" x14ac:dyDescent="0.3">
      <c r="B16" s="236" t="s">
        <v>251</v>
      </c>
      <c r="C16" s="90">
        <v>4</v>
      </c>
      <c r="D16" s="82">
        <v>4</v>
      </c>
      <c r="F16" s="169" t="s">
        <v>65</v>
      </c>
      <c r="G16" s="473" t="s">
        <v>221</v>
      </c>
      <c r="H16" s="473"/>
      <c r="I16" s="474"/>
    </row>
    <row r="17" spans="2:9" ht="18.95" customHeight="1" x14ac:dyDescent="0.25">
      <c r="B17" s="236" t="s">
        <v>252</v>
      </c>
      <c r="C17" s="90">
        <v>1</v>
      </c>
      <c r="D17" s="82">
        <v>1</v>
      </c>
      <c r="F17" s="161" t="s">
        <v>40</v>
      </c>
      <c r="G17" s="475" t="str">
        <f>IF(Balances!C7&gt;0,"OK", "No, please check the data (Total COD, FilteredCOD and Filtered flocculated COD) and the fractions")</f>
        <v>OK</v>
      </c>
      <c r="H17" s="475"/>
      <c r="I17" s="476"/>
    </row>
    <row r="18" spans="2:9" ht="18.95" customHeight="1" x14ac:dyDescent="0.25">
      <c r="B18" s="236" t="s">
        <v>253</v>
      </c>
      <c r="C18" s="90">
        <v>1</v>
      </c>
      <c r="D18" s="82">
        <v>1</v>
      </c>
      <c r="F18" s="61" t="s">
        <v>17</v>
      </c>
      <c r="G18" s="477" t="str">
        <f>IF(Balances!G11&gt;0,"OK", "No, please check the data (TKN, Ammonia) and the fractions")</f>
        <v>OK</v>
      </c>
      <c r="H18" s="478"/>
      <c r="I18" s="479"/>
    </row>
    <row r="19" spans="2:9" ht="18.95" customHeight="1" thickBot="1" x14ac:dyDescent="0.3">
      <c r="B19" s="237" t="s">
        <v>254</v>
      </c>
      <c r="C19" s="100">
        <v>0.1</v>
      </c>
      <c r="D19" s="83">
        <v>0.1</v>
      </c>
      <c r="F19" s="61" t="s">
        <v>41</v>
      </c>
      <c r="G19" s="477" t="str">
        <f>IF(Balances!G26&gt;0,"OK", "No, please check the data (TP, Phosphates) and the fractions")</f>
        <v>OK</v>
      </c>
      <c r="H19" s="478"/>
      <c r="I19" s="479"/>
    </row>
    <row r="20" spans="2:9" ht="18.95" customHeight="1" thickBot="1" x14ac:dyDescent="0.3">
      <c r="B20" s="101"/>
      <c r="C20" s="102"/>
      <c r="D20" s="103"/>
      <c r="F20" s="66" t="s">
        <v>42</v>
      </c>
      <c r="G20" s="480" t="str">
        <f>IF(Balances!C31&gt;0,"OK", "No, please check the data (TSS and VSS) and the fractions")</f>
        <v>OK</v>
      </c>
      <c r="H20" s="481"/>
      <c r="I20" s="482"/>
    </row>
    <row r="21" spans="2:9" ht="36" customHeight="1" thickBot="1" x14ac:dyDescent="0.3">
      <c r="B21" s="87" t="s">
        <v>167</v>
      </c>
      <c r="C21" s="152" t="s">
        <v>13</v>
      </c>
      <c r="D21" s="238" t="s">
        <v>260</v>
      </c>
    </row>
    <row r="22" spans="2:9" ht="18.95" customHeight="1" x14ac:dyDescent="0.25">
      <c r="B22" s="232" t="s">
        <v>255</v>
      </c>
      <c r="C22" s="153">
        <v>1.42</v>
      </c>
      <c r="D22" s="218">
        <v>1.42</v>
      </c>
    </row>
    <row r="23" spans="2:9" ht="18.95" customHeight="1" thickBot="1" x14ac:dyDescent="0.3">
      <c r="B23" s="230" t="s">
        <v>256</v>
      </c>
      <c r="C23" s="90">
        <v>1.8</v>
      </c>
      <c r="D23" s="80">
        <v>1.8</v>
      </c>
    </row>
    <row r="24" spans="2:9" ht="18.95" customHeight="1" thickBot="1" x14ac:dyDescent="0.3">
      <c r="B24" s="230" t="s">
        <v>257</v>
      </c>
      <c r="C24" s="90">
        <v>1.3</v>
      </c>
      <c r="D24" s="79">
        <v>1.3</v>
      </c>
      <c r="F24" s="137" t="s">
        <v>138</v>
      </c>
      <c r="G24" s="88" t="s">
        <v>139</v>
      </c>
      <c r="H24" s="88" t="s">
        <v>140</v>
      </c>
      <c r="I24" s="89" t="s">
        <v>121</v>
      </c>
    </row>
    <row r="25" spans="2:9" ht="18.95" customHeight="1" thickBot="1" x14ac:dyDescent="0.3">
      <c r="B25" s="231" t="s">
        <v>258</v>
      </c>
      <c r="C25" s="100">
        <v>1.42</v>
      </c>
      <c r="D25" s="81">
        <v>1.42</v>
      </c>
      <c r="F25" s="461" t="s">
        <v>145</v>
      </c>
      <c r="G25" s="464">
        <f>Data!G5</f>
        <v>1.5923566878980893</v>
      </c>
      <c r="H25" s="467">
        <f>(D22*(SUM(Balances!C17:C23)+Balances!C11)+D23*Balances!C7+D24*Balances!C10+D25*Balances!C13)/((SUM(Balances!C17:C23)+Balances!C11)+Balances!C7+Balances!C10+Balances!C13)</f>
        <v>1.6487735849056606</v>
      </c>
      <c r="I25" s="470" t="str">
        <f>IF(ABS((G25-H25)/H25)&lt;Calculations!$C$9,Calculations!$C$8,IF(ABS((G25-H25)/G25)&gt;Calculations!$E$9,Calculations!$E$8,Calculations!$D$8))</f>
        <v>good match</v>
      </c>
    </row>
    <row r="26" spans="2:9" ht="18.95" customHeight="1" thickBot="1" x14ac:dyDescent="0.3">
      <c r="F26" s="462"/>
      <c r="G26" s="465"/>
      <c r="H26" s="468"/>
      <c r="I26" s="471"/>
    </row>
    <row r="27" spans="2:9" ht="18.95" customHeight="1" thickBot="1" x14ac:dyDescent="0.3">
      <c r="B27" s="87" t="s">
        <v>240</v>
      </c>
      <c r="C27" s="152" t="s">
        <v>13</v>
      </c>
      <c r="D27" s="89" t="s">
        <v>125</v>
      </c>
      <c r="F27" s="462"/>
      <c r="G27" s="465"/>
      <c r="H27" s="468"/>
      <c r="I27" s="471"/>
    </row>
    <row r="28" spans="2:9" ht="18.95" customHeight="1" thickBot="1" x14ac:dyDescent="0.3">
      <c r="B28" s="232" t="s">
        <v>241</v>
      </c>
      <c r="C28" s="153">
        <v>0.95</v>
      </c>
      <c r="D28" s="218">
        <v>0.95</v>
      </c>
      <c r="F28" s="463"/>
      <c r="G28" s="466"/>
      <c r="H28" s="469"/>
      <c r="I28" s="472"/>
    </row>
    <row r="29" spans="2:9" ht="18.95" customHeight="1" x14ac:dyDescent="0.25">
      <c r="B29" s="230" t="s">
        <v>242</v>
      </c>
      <c r="C29" s="90">
        <v>0.9</v>
      </c>
      <c r="D29" s="79">
        <v>0.9</v>
      </c>
    </row>
    <row r="30" spans="2:9" ht="18.95" customHeight="1" x14ac:dyDescent="0.25">
      <c r="B30" s="230" t="s">
        <v>243</v>
      </c>
      <c r="C30" s="90">
        <v>0.6</v>
      </c>
      <c r="D30" s="79">
        <v>0.6</v>
      </c>
    </row>
    <row r="31" spans="2:9" ht="18.95" customHeight="1" thickBot="1" x14ac:dyDescent="0.3">
      <c r="B31" s="231" t="s">
        <v>244</v>
      </c>
      <c r="C31" s="100">
        <v>0.5</v>
      </c>
      <c r="D31" s="81">
        <v>0.5</v>
      </c>
    </row>
  </sheetData>
  <mergeCells count="14">
    <mergeCell ref="F13:G13"/>
    <mergeCell ref="F14:G14"/>
    <mergeCell ref="F10:G10"/>
    <mergeCell ref="F12:G12"/>
    <mergeCell ref="F11:G11"/>
    <mergeCell ref="F25:F28"/>
    <mergeCell ref="G25:G28"/>
    <mergeCell ref="H25:H28"/>
    <mergeCell ref="I25:I28"/>
    <mergeCell ref="G16:I16"/>
    <mergeCell ref="G17:I17"/>
    <mergeCell ref="G18:I18"/>
    <mergeCell ref="G19:I19"/>
    <mergeCell ref="G20:I20"/>
  </mergeCells>
  <conditionalFormatting sqref="G17:I19 G20">
    <cfRule type="cellIs" dxfId="16" priority="2" operator="equal">
      <formula>"OK"</formula>
    </cfRule>
  </conditionalFormatting>
  <conditionalFormatting sqref="G20">
    <cfRule type="cellIs" dxfId="15" priority="1" operator="equal">
      <formula>"OK"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4" operator="containsText" id="{3360C55C-806C-4825-B78B-99E52CD66826}">
            <xm:f>NOT(ISERROR(SEARCH(Calculations!$E$8,I3)))</xm:f>
            <xm:f>Calculations!$E$8</xm:f>
            <x14:dxf>
              <fill>
                <patternFill>
                  <bgColor rgb="FFFF3300"/>
                </patternFill>
              </fill>
            </x14:dxf>
          </x14:cfRule>
          <x14:cfRule type="containsText" priority="25" operator="containsText" id="{C082239F-23E1-4964-8CC1-63D67EE6E0CD}">
            <xm:f>NOT(ISERROR(SEARCH(Calculations!$D$8,I3)))</xm:f>
            <xm:f>Calculations!$D$8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6" operator="containsText" id="{1B3D0A93-CA5C-46AD-91AC-3E2916A03A82}">
            <xm:f>NOT(ISERROR(SEARCH(Calculations!$C$8,I3)))</xm:f>
            <xm:f>Calculations!$C$8</xm:f>
            <x14:dxf>
              <fill>
                <patternFill>
                  <bgColor theme="9" tint="0.39994506668294322"/>
                </patternFill>
              </fill>
            </x14:dxf>
          </x14:cfRule>
          <xm:sqref>K7 I3:I8</xm:sqref>
        </x14:conditionalFormatting>
        <x14:conditionalFormatting xmlns:xm="http://schemas.microsoft.com/office/excel/2006/main">
          <x14:cfRule type="containsText" priority="18" operator="containsText" id="{1BA10E23-7A82-4660-B025-C200E81201A4}">
            <xm:f>NOT(ISERROR(SEARCH(Calculations!$E$8,I25)))</xm:f>
            <xm:f>Calculations!$E$8</xm:f>
            <x14:dxf>
              <fill>
                <patternFill>
                  <bgColor rgb="FFFF3300"/>
                </patternFill>
              </fill>
            </x14:dxf>
          </x14:cfRule>
          <x14:cfRule type="containsText" priority="19" operator="containsText" id="{12862939-D004-4A51-BF9C-1CAD5E4D78CC}">
            <xm:f>NOT(ISERROR(SEARCH(Calculations!$D$8,I25)))</xm:f>
            <xm:f>Calculations!$D$8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0" operator="containsText" id="{0B8515C4-ED28-473E-B0A4-3B2C129DF418}">
            <xm:f>NOT(ISERROR(SEARCH(Calculations!$C$8,I25)))</xm:f>
            <xm:f>Calculations!$C$8</xm:f>
            <x14:dxf>
              <fill>
                <patternFill>
                  <bgColor theme="9" tint="0.39994506668294322"/>
                </patternFill>
              </fill>
            </x14:dxf>
          </x14:cfRule>
          <xm:sqref>I25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7"/>
  <sheetViews>
    <sheetView showGridLines="0" zoomScale="88" zoomScaleNormal="115" workbookViewId="0"/>
  </sheetViews>
  <sheetFormatPr baseColWidth="10" defaultColWidth="9.140625" defaultRowHeight="15" x14ac:dyDescent="0.25"/>
  <cols>
    <col min="1" max="1" width="4.7109375" style="60" customWidth="1"/>
    <col min="2" max="2" width="6.85546875" style="60" bestFit="1" customWidth="1"/>
    <col min="3" max="3" width="96.42578125" style="60" bestFit="1" customWidth="1"/>
    <col min="4" max="5" width="16.140625" style="60" customWidth="1"/>
    <col min="6" max="6" width="16.42578125" style="60" customWidth="1"/>
    <col min="7" max="7" width="3.5703125" style="60" customWidth="1"/>
    <col min="8" max="9" width="3.42578125" style="60" customWidth="1"/>
    <col min="10" max="10" width="10.140625" style="60" bestFit="1" customWidth="1"/>
    <col min="11" max="11" width="71.140625" style="60" bestFit="1" customWidth="1"/>
    <col min="12" max="12" width="9.140625" style="60"/>
    <col min="13" max="14" width="11.85546875" style="60" bestFit="1" customWidth="1"/>
    <col min="15" max="16384" width="9.140625" style="60"/>
  </cols>
  <sheetData>
    <row r="1" spans="1:14" ht="15.75" thickBot="1" x14ac:dyDescent="0.3">
      <c r="A1" s="240"/>
      <c r="B1" s="240"/>
      <c r="C1" s="240"/>
      <c r="D1" s="240"/>
      <c r="E1" s="240"/>
      <c r="F1" s="240"/>
      <c r="I1" s="240"/>
      <c r="J1" s="240"/>
      <c r="K1" s="240"/>
      <c r="L1" s="240"/>
      <c r="M1" s="240"/>
      <c r="N1" s="240"/>
    </row>
    <row r="2" spans="1:14" ht="19.5" thickBot="1" x14ac:dyDescent="0.35">
      <c r="A2" s="493" t="s">
        <v>266</v>
      </c>
      <c r="B2" s="494"/>
      <c r="C2" s="494"/>
      <c r="D2" s="494"/>
      <c r="E2" s="494"/>
      <c r="F2" s="495"/>
      <c r="I2" s="493" t="s">
        <v>261</v>
      </c>
      <c r="J2" s="494"/>
      <c r="K2" s="494"/>
      <c r="L2" s="494"/>
      <c r="M2" s="494"/>
      <c r="N2" s="495"/>
    </row>
    <row r="3" spans="1:14" ht="15.75" thickBot="1" x14ac:dyDescent="0.3">
      <c r="C3" s="58"/>
      <c r="D3" s="59"/>
      <c r="E3" s="59"/>
      <c r="F3" s="59"/>
      <c r="I3" s="240"/>
      <c r="J3" s="240"/>
      <c r="K3" s="241"/>
      <c r="L3" s="242"/>
      <c r="M3" s="242"/>
      <c r="N3" s="242"/>
    </row>
    <row r="4" spans="1:14" ht="15.75" thickBot="1" x14ac:dyDescent="0.3">
      <c r="C4" s="167" t="s">
        <v>12</v>
      </c>
      <c r="D4" s="59"/>
      <c r="E4" s="59"/>
      <c r="F4" s="59"/>
      <c r="I4" s="240"/>
      <c r="J4" s="240"/>
      <c r="K4" s="251" t="s">
        <v>262</v>
      </c>
      <c r="L4" s="242"/>
      <c r="M4" s="242"/>
      <c r="N4" s="242"/>
    </row>
    <row r="5" spans="1:14" ht="15.75" thickBot="1" x14ac:dyDescent="0.3">
      <c r="B5" s="206" t="s">
        <v>418</v>
      </c>
      <c r="C5" s="169" t="s">
        <v>0</v>
      </c>
      <c r="D5" s="170" t="s">
        <v>39</v>
      </c>
      <c r="E5" s="170" t="s">
        <v>70</v>
      </c>
      <c r="F5" s="171" t="s">
        <v>69</v>
      </c>
      <c r="I5" s="240"/>
      <c r="J5" s="206" t="s">
        <v>418</v>
      </c>
      <c r="K5" s="329" t="s">
        <v>0</v>
      </c>
      <c r="L5" s="330" t="s">
        <v>39</v>
      </c>
      <c r="M5" s="330" t="s">
        <v>70</v>
      </c>
      <c r="N5" s="238" t="s">
        <v>69</v>
      </c>
    </row>
    <row r="6" spans="1:14" ht="18" x14ac:dyDescent="0.25">
      <c r="B6" s="443" t="s">
        <v>14</v>
      </c>
      <c r="C6" s="161" t="s">
        <v>15</v>
      </c>
      <c r="D6" s="162">
        <f>Data!C3</f>
        <v>24000</v>
      </c>
      <c r="E6" s="168" t="s">
        <v>164</v>
      </c>
      <c r="F6" s="164" t="s">
        <v>72</v>
      </c>
      <c r="I6" s="240"/>
      <c r="J6" s="446" t="s">
        <v>480</v>
      </c>
      <c r="K6" s="246" t="s">
        <v>256</v>
      </c>
      <c r="L6" s="258">
        <f>'Check fractions'!D23</f>
        <v>1.8</v>
      </c>
      <c r="M6" s="247" t="s">
        <v>263</v>
      </c>
      <c r="N6" s="248" t="s">
        <v>263</v>
      </c>
    </row>
    <row r="7" spans="1:14" ht="18" x14ac:dyDescent="0.25">
      <c r="B7" s="444" t="s">
        <v>419</v>
      </c>
      <c r="C7" s="61" t="s">
        <v>16</v>
      </c>
      <c r="D7" s="56">
        <f>Data!C14</f>
        <v>420</v>
      </c>
      <c r="E7" s="64" t="s">
        <v>155</v>
      </c>
      <c r="F7" s="63" t="s">
        <v>71</v>
      </c>
      <c r="I7" s="240"/>
      <c r="J7" s="425" t="s">
        <v>481</v>
      </c>
      <c r="K7" s="275" t="s">
        <v>257</v>
      </c>
      <c r="L7" s="262">
        <f>'Check fractions'!D24</f>
        <v>1.3</v>
      </c>
      <c r="M7" s="245" t="s">
        <v>263</v>
      </c>
      <c r="N7" s="244" t="s">
        <v>263</v>
      </c>
    </row>
    <row r="8" spans="1:14" ht="18" x14ac:dyDescent="0.25">
      <c r="B8" s="444" t="s">
        <v>420</v>
      </c>
      <c r="C8" s="61" t="s">
        <v>17</v>
      </c>
      <c r="D8" s="56">
        <f>Data!C7</f>
        <v>34.4</v>
      </c>
      <c r="E8" s="64" t="s">
        <v>158</v>
      </c>
      <c r="F8" s="63" t="s">
        <v>159</v>
      </c>
      <c r="I8" s="240"/>
      <c r="J8" s="452" t="s">
        <v>482</v>
      </c>
      <c r="K8" s="230" t="s">
        <v>255</v>
      </c>
      <c r="L8" s="262">
        <f>'Check fractions'!D22</f>
        <v>1.42</v>
      </c>
      <c r="M8" s="331" t="s">
        <v>263</v>
      </c>
      <c r="N8" s="244" t="s">
        <v>263</v>
      </c>
    </row>
    <row r="9" spans="1:14" ht="18.75" thickBot="1" x14ac:dyDescent="0.3">
      <c r="B9" s="445" t="s">
        <v>421</v>
      </c>
      <c r="C9" s="66" t="s">
        <v>18</v>
      </c>
      <c r="D9" s="57">
        <f>Data!C8</f>
        <v>4.3</v>
      </c>
      <c r="E9" s="77" t="s">
        <v>161</v>
      </c>
      <c r="F9" s="68" t="s">
        <v>160</v>
      </c>
      <c r="I9" s="240"/>
      <c r="J9" s="454" t="s">
        <v>483</v>
      </c>
      <c r="K9" s="454" t="s">
        <v>258</v>
      </c>
      <c r="L9" s="455">
        <f>'Check fractions'!D25</f>
        <v>1.42</v>
      </c>
      <c r="M9" s="456" t="s">
        <v>263</v>
      </c>
      <c r="N9" s="457" t="s">
        <v>263</v>
      </c>
    </row>
    <row r="10" spans="1:14" ht="15.75" thickBot="1" x14ac:dyDescent="0.3">
      <c r="A10" s="165"/>
      <c r="B10" s="165"/>
      <c r="C10" s="101"/>
      <c r="D10" s="166"/>
      <c r="E10" s="102"/>
      <c r="F10" s="102"/>
      <c r="I10" s="240"/>
      <c r="J10" s="458"/>
      <c r="K10" s="458"/>
      <c r="L10" s="458"/>
      <c r="M10" s="458"/>
      <c r="N10" s="458"/>
    </row>
    <row r="11" spans="1:14" ht="15.75" thickBot="1" x14ac:dyDescent="0.3">
      <c r="A11" s="165"/>
      <c r="B11" s="165"/>
      <c r="C11" s="167" t="s">
        <v>183</v>
      </c>
      <c r="D11" s="328" t="s">
        <v>320</v>
      </c>
      <c r="E11" s="102"/>
      <c r="F11" s="102"/>
      <c r="I11" s="240"/>
      <c r="K11" s="251" t="s">
        <v>321</v>
      </c>
      <c r="L11" s="259"/>
      <c r="M11" s="261"/>
      <c r="N11" s="261"/>
    </row>
    <row r="12" spans="1:14" ht="15.75" thickBot="1" x14ac:dyDescent="0.3">
      <c r="B12" s="206" t="s">
        <v>418</v>
      </c>
      <c r="C12" s="169" t="s">
        <v>0</v>
      </c>
      <c r="D12" s="170" t="s">
        <v>39</v>
      </c>
      <c r="E12" s="170" t="s">
        <v>70</v>
      </c>
      <c r="F12" s="171" t="s">
        <v>69</v>
      </c>
      <c r="I12" s="240"/>
      <c r="J12" s="206" t="s">
        <v>418</v>
      </c>
      <c r="K12" s="253" t="s">
        <v>0</v>
      </c>
      <c r="L12" s="254" t="s">
        <v>39</v>
      </c>
      <c r="M12" s="254" t="s">
        <v>70</v>
      </c>
      <c r="N12" s="255" t="s">
        <v>69</v>
      </c>
    </row>
    <row r="13" spans="1:14" ht="18" x14ac:dyDescent="0.25">
      <c r="A13" s="65"/>
      <c r="B13" s="443" t="s">
        <v>422</v>
      </c>
      <c r="C13" s="161" t="s">
        <v>19</v>
      </c>
      <c r="D13" s="162">
        <f>Data!C10</f>
        <v>330</v>
      </c>
      <c r="E13" s="163" t="s">
        <v>162</v>
      </c>
      <c r="F13" s="164" t="s">
        <v>163</v>
      </c>
      <c r="I13" s="240"/>
      <c r="J13" s="453" t="s">
        <v>484</v>
      </c>
      <c r="K13" s="249" t="s">
        <v>264</v>
      </c>
      <c r="L13" s="260">
        <f>'Check fractions'!D28</f>
        <v>0.95</v>
      </c>
      <c r="M13" s="252" t="s">
        <v>265</v>
      </c>
      <c r="N13" s="250" t="s">
        <v>265</v>
      </c>
    </row>
    <row r="14" spans="1:14" ht="18.75" thickBot="1" x14ac:dyDescent="0.3">
      <c r="B14" s="445" t="s">
        <v>20</v>
      </c>
      <c r="C14" s="66" t="s">
        <v>20</v>
      </c>
      <c r="D14" s="57">
        <f>Data!C11</f>
        <v>7.2</v>
      </c>
      <c r="E14" s="67" t="s">
        <v>21</v>
      </c>
      <c r="F14" s="68" t="s">
        <v>21</v>
      </c>
      <c r="I14" s="240"/>
      <c r="J14" s="425" t="s">
        <v>485</v>
      </c>
      <c r="K14" s="243" t="s">
        <v>242</v>
      </c>
      <c r="L14" s="262">
        <f>'Check fractions'!D29</f>
        <v>0.9</v>
      </c>
      <c r="M14" s="245" t="s">
        <v>21</v>
      </c>
      <c r="N14" s="244" t="s">
        <v>21</v>
      </c>
    </row>
    <row r="15" spans="1:14" ht="18.75" thickBot="1" x14ac:dyDescent="0.3">
      <c r="C15" s="58"/>
      <c r="D15" s="59"/>
      <c r="E15" s="59"/>
      <c r="F15" s="59"/>
      <c r="I15" s="240"/>
      <c r="J15" s="425" t="s">
        <v>486</v>
      </c>
      <c r="K15" s="243" t="s">
        <v>243</v>
      </c>
      <c r="L15" s="262">
        <f>'Check fractions'!D30</f>
        <v>0.6</v>
      </c>
      <c r="M15" s="245" t="s">
        <v>21</v>
      </c>
      <c r="N15" s="244" t="s">
        <v>21</v>
      </c>
    </row>
    <row r="16" spans="1:14" ht="18.75" thickBot="1" x14ac:dyDescent="0.3">
      <c r="C16" s="167" t="s">
        <v>22</v>
      </c>
      <c r="D16" s="59"/>
      <c r="E16" s="59"/>
      <c r="F16" s="59"/>
      <c r="I16" s="240"/>
      <c r="J16" s="454" t="s">
        <v>487</v>
      </c>
      <c r="K16" s="256" t="s">
        <v>244</v>
      </c>
      <c r="L16" s="257">
        <f>'Check fractions'!D31</f>
        <v>0.5</v>
      </c>
      <c r="M16" s="263" t="s">
        <v>21</v>
      </c>
      <c r="N16" s="264" t="s">
        <v>21</v>
      </c>
    </row>
    <row r="17" spans="1:14" ht="15.75" thickBot="1" x14ac:dyDescent="0.3">
      <c r="B17" s="206" t="s">
        <v>418</v>
      </c>
      <c r="C17" s="169" t="s">
        <v>0</v>
      </c>
      <c r="D17" s="170" t="s">
        <v>39</v>
      </c>
      <c r="E17" s="170" t="s">
        <v>70</v>
      </c>
      <c r="F17" s="171" t="s">
        <v>69</v>
      </c>
      <c r="I17" s="240"/>
      <c r="J17" s="240"/>
    </row>
    <row r="18" spans="1:14" ht="18" x14ac:dyDescent="0.25">
      <c r="B18" s="446" t="s">
        <v>423</v>
      </c>
      <c r="C18" s="267" t="s">
        <v>267</v>
      </c>
      <c r="D18" s="151">
        <f>Data!G4</f>
        <v>84.86486486486487</v>
      </c>
      <c r="E18" s="172" t="s">
        <v>111</v>
      </c>
      <c r="F18" s="173" t="s">
        <v>111</v>
      </c>
    </row>
    <row r="19" spans="1:14" ht="18" x14ac:dyDescent="0.25">
      <c r="B19" s="425" t="s">
        <v>424</v>
      </c>
      <c r="C19" s="265" t="s">
        <v>245</v>
      </c>
      <c r="D19" s="56">
        <f>Data!G15</f>
        <v>40.476190476190474</v>
      </c>
      <c r="E19" s="69" t="s">
        <v>111</v>
      </c>
      <c r="F19" s="70" t="s">
        <v>111</v>
      </c>
    </row>
    <row r="20" spans="1:14" ht="19.5" customHeight="1" x14ac:dyDescent="0.25">
      <c r="B20" s="425" t="s">
        <v>425</v>
      </c>
      <c r="C20" s="265" t="s">
        <v>246</v>
      </c>
      <c r="D20" s="56">
        <f>Data!G16</f>
        <v>20.238095238095237</v>
      </c>
      <c r="E20" s="69" t="s">
        <v>111</v>
      </c>
      <c r="F20" s="70" t="s">
        <v>111</v>
      </c>
    </row>
    <row r="21" spans="1:14" ht="19.5" customHeight="1" x14ac:dyDescent="0.25">
      <c r="B21" s="425" t="s">
        <v>426</v>
      </c>
      <c r="C21" s="265" t="s">
        <v>247</v>
      </c>
      <c r="D21" s="56">
        <f>Data!G22</f>
        <v>11.76470588235294</v>
      </c>
      <c r="E21" s="69" t="s">
        <v>111</v>
      </c>
      <c r="F21" s="70" t="s">
        <v>111</v>
      </c>
    </row>
    <row r="22" spans="1:14" ht="19.5" customHeight="1" x14ac:dyDescent="0.25">
      <c r="B22" s="425" t="s">
        <v>489</v>
      </c>
      <c r="C22" s="275" t="s">
        <v>319</v>
      </c>
      <c r="D22" s="56">
        <f>'Check fractions'!D15</f>
        <v>40</v>
      </c>
      <c r="E22" s="69" t="s">
        <v>111</v>
      </c>
      <c r="F22" s="70" t="s">
        <v>111</v>
      </c>
    </row>
    <row r="23" spans="1:14" ht="19.5" customHeight="1" x14ac:dyDescent="0.25">
      <c r="B23" s="425" t="s">
        <v>427</v>
      </c>
      <c r="C23" s="265" t="s">
        <v>248</v>
      </c>
      <c r="D23" s="56">
        <f>Data!G17</f>
        <v>11.76470588235294</v>
      </c>
      <c r="E23" s="69" t="s">
        <v>111</v>
      </c>
      <c r="F23" s="70" t="s">
        <v>111</v>
      </c>
    </row>
    <row r="24" spans="1:14" ht="19.5" customHeight="1" x14ac:dyDescent="0.25">
      <c r="B24" s="425" t="s">
        <v>428</v>
      </c>
      <c r="C24" s="265" t="s">
        <v>249</v>
      </c>
      <c r="D24" s="56">
        <f>'Check fractions'!D10</f>
        <v>14</v>
      </c>
      <c r="E24" s="69" t="s">
        <v>111</v>
      </c>
      <c r="F24" s="70" t="s">
        <v>111</v>
      </c>
    </row>
    <row r="25" spans="1:14" ht="19.5" customHeight="1" x14ac:dyDescent="0.25">
      <c r="B25" s="425" t="s">
        <v>429</v>
      </c>
      <c r="C25" s="265" t="s">
        <v>313</v>
      </c>
      <c r="D25" s="56">
        <f>'Check fractions'!D11</f>
        <v>10</v>
      </c>
      <c r="E25" s="69" t="s">
        <v>111</v>
      </c>
      <c r="F25" s="70" t="s">
        <v>111</v>
      </c>
    </row>
    <row r="26" spans="1:14" ht="19.5" customHeight="1" x14ac:dyDescent="0.25">
      <c r="B26" s="425" t="s">
        <v>488</v>
      </c>
      <c r="C26" s="275" t="s">
        <v>314</v>
      </c>
      <c r="D26" s="56">
        <f>'Check fractions'!D12</f>
        <v>90</v>
      </c>
      <c r="E26" s="69" t="s">
        <v>111</v>
      </c>
      <c r="F26" s="70" t="s">
        <v>111</v>
      </c>
      <c r="K26" s="165"/>
      <c r="L26" s="165"/>
      <c r="M26" s="165"/>
      <c r="N26" s="165"/>
    </row>
    <row r="27" spans="1:14" s="165" customFormat="1" ht="19.5" customHeight="1" x14ac:dyDescent="0.25">
      <c r="A27" s="60"/>
      <c r="B27" s="425" t="s">
        <v>430</v>
      </c>
      <c r="C27" s="265" t="s">
        <v>326</v>
      </c>
      <c r="D27" s="56">
        <f>'Check fractions'!D13</f>
        <v>5</v>
      </c>
      <c r="E27" s="69" t="s">
        <v>111</v>
      </c>
      <c r="F27" s="70" t="s">
        <v>111</v>
      </c>
    </row>
    <row r="28" spans="1:14" s="165" customFormat="1" ht="19.5" customHeight="1" x14ac:dyDescent="0.25">
      <c r="A28" s="60"/>
      <c r="B28" s="425" t="s">
        <v>431</v>
      </c>
      <c r="C28" s="265" t="s">
        <v>250</v>
      </c>
      <c r="D28" s="56">
        <f>'Check fractions'!D14</f>
        <v>20</v>
      </c>
      <c r="E28" s="69" t="s">
        <v>111</v>
      </c>
      <c r="F28" s="70" t="s">
        <v>111</v>
      </c>
      <c r="K28" s="60"/>
      <c r="L28" s="60"/>
      <c r="M28" s="60"/>
      <c r="N28" s="60"/>
    </row>
    <row r="29" spans="1:14" ht="19.5" customHeight="1" x14ac:dyDescent="0.25">
      <c r="B29" s="425" t="s">
        <v>432</v>
      </c>
      <c r="C29" s="265" t="s">
        <v>268</v>
      </c>
      <c r="D29" s="56">
        <f>Data!G23</f>
        <v>69.767441860465112</v>
      </c>
      <c r="E29" s="69" t="s">
        <v>111</v>
      </c>
      <c r="F29" s="70" t="s">
        <v>111</v>
      </c>
      <c r="K29" s="65"/>
      <c r="L29" s="65"/>
      <c r="M29" s="65"/>
      <c r="N29" s="65"/>
    </row>
    <row r="30" spans="1:14" s="65" customFormat="1" ht="19.5" customHeight="1" x14ac:dyDescent="0.25">
      <c r="A30" s="60"/>
      <c r="B30" s="425" t="s">
        <v>433</v>
      </c>
      <c r="C30" s="265" t="s">
        <v>269</v>
      </c>
      <c r="D30" s="56">
        <f>Data!G24</f>
        <v>46.511627906976742</v>
      </c>
      <c r="E30" s="69" t="s">
        <v>111</v>
      </c>
      <c r="F30" s="70" t="s">
        <v>111</v>
      </c>
      <c r="K30" s="60"/>
      <c r="L30" s="60"/>
      <c r="M30" s="60"/>
      <c r="N30" s="60"/>
    </row>
    <row r="31" spans="1:14" ht="19.5" customHeight="1" x14ac:dyDescent="0.25">
      <c r="B31" s="425" t="s">
        <v>434</v>
      </c>
      <c r="C31" s="265" t="s">
        <v>251</v>
      </c>
      <c r="D31" s="56">
        <f>'Check fractions'!D16</f>
        <v>4</v>
      </c>
      <c r="E31" s="69" t="s">
        <v>111</v>
      </c>
      <c r="F31" s="70" t="s">
        <v>111</v>
      </c>
    </row>
    <row r="32" spans="1:14" ht="19.5" customHeight="1" x14ac:dyDescent="0.25">
      <c r="B32" s="425" t="s">
        <v>435</v>
      </c>
      <c r="C32" s="265" t="s">
        <v>252</v>
      </c>
      <c r="D32" s="56">
        <f>'Check fractions'!D17</f>
        <v>1</v>
      </c>
      <c r="E32" s="69" t="s">
        <v>111</v>
      </c>
      <c r="F32" s="70" t="s">
        <v>111</v>
      </c>
    </row>
    <row r="33" spans="2:8" ht="19.5" customHeight="1" x14ac:dyDescent="0.25">
      <c r="B33" s="425" t="s">
        <v>436</v>
      </c>
      <c r="C33" s="265" t="s">
        <v>253</v>
      </c>
      <c r="D33" s="56">
        <f>'Check fractions'!D18</f>
        <v>1</v>
      </c>
      <c r="E33" s="69" t="s">
        <v>111</v>
      </c>
      <c r="F33" s="70" t="s">
        <v>111</v>
      </c>
    </row>
    <row r="34" spans="2:8" ht="19.5" customHeight="1" thickBot="1" x14ac:dyDescent="0.3">
      <c r="B34" s="447" t="s">
        <v>437</v>
      </c>
      <c r="C34" s="266" t="s">
        <v>254</v>
      </c>
      <c r="D34" s="57">
        <f>'Check fractions'!D19</f>
        <v>0.1</v>
      </c>
      <c r="E34" s="67" t="s">
        <v>111</v>
      </c>
      <c r="F34" s="174" t="s">
        <v>111</v>
      </c>
    </row>
    <row r="35" spans="2:8" ht="19.5" customHeight="1" thickBot="1" x14ac:dyDescent="0.3">
      <c r="H35" s="223"/>
    </row>
    <row r="36" spans="2:8" ht="19.5" customHeight="1" thickBot="1" x14ac:dyDescent="0.3">
      <c r="C36" s="73" t="s">
        <v>179</v>
      </c>
      <c r="D36" s="59"/>
      <c r="E36" s="59"/>
      <c r="F36" s="59"/>
      <c r="H36" s="223"/>
    </row>
    <row r="37" spans="2:8" ht="19.5" customHeight="1" thickBot="1" x14ac:dyDescent="0.3">
      <c r="B37" s="206" t="s">
        <v>418</v>
      </c>
      <c r="C37" s="137" t="s">
        <v>0</v>
      </c>
      <c r="D37" s="88" t="s">
        <v>39</v>
      </c>
      <c r="E37" s="88" t="s">
        <v>70</v>
      </c>
      <c r="F37" s="89" t="s">
        <v>69</v>
      </c>
      <c r="H37" s="223"/>
    </row>
    <row r="38" spans="2:8" ht="19.5" customHeight="1" x14ac:dyDescent="0.25">
      <c r="B38" s="448" t="s">
        <v>438</v>
      </c>
      <c r="C38" s="91" t="s">
        <v>124</v>
      </c>
      <c r="D38" s="151">
        <f>Data!C27</f>
        <v>150</v>
      </c>
      <c r="E38" s="138" t="s">
        <v>174</v>
      </c>
      <c r="F38" s="139" t="s">
        <v>186</v>
      </c>
      <c r="H38" s="223"/>
    </row>
    <row r="39" spans="2:8" ht="19.5" customHeight="1" x14ac:dyDescent="0.25">
      <c r="B39" s="444" t="s">
        <v>439</v>
      </c>
      <c r="C39" s="61" t="s">
        <v>11</v>
      </c>
      <c r="D39" s="56">
        <f>Data!C28</f>
        <v>15</v>
      </c>
      <c r="E39" s="136" t="s">
        <v>176</v>
      </c>
      <c r="F39" s="140" t="s">
        <v>187</v>
      </c>
      <c r="H39" s="223"/>
    </row>
    <row r="40" spans="2:8" ht="19.5" customHeight="1" x14ac:dyDescent="0.25">
      <c r="B40" s="449" t="s">
        <v>440</v>
      </c>
      <c r="C40" s="160" t="s">
        <v>184</v>
      </c>
      <c r="D40" s="56">
        <f>Data!C29</f>
        <v>16</v>
      </c>
      <c r="E40" s="136" t="s">
        <v>185</v>
      </c>
      <c r="F40" s="140" t="s">
        <v>187</v>
      </c>
      <c r="H40" s="223"/>
    </row>
    <row r="41" spans="2:8" ht="19.5" customHeight="1" x14ac:dyDescent="0.25">
      <c r="B41" s="449" t="s">
        <v>441</v>
      </c>
      <c r="C41" s="382" t="s">
        <v>386</v>
      </c>
      <c r="D41" s="56">
        <f>Data!C30</f>
        <v>300</v>
      </c>
      <c r="E41" s="136" t="s">
        <v>175</v>
      </c>
      <c r="F41" s="140" t="s">
        <v>188</v>
      </c>
      <c r="H41" s="223"/>
    </row>
    <row r="42" spans="2:8" ht="19.5" customHeight="1" thickBot="1" x14ac:dyDescent="0.3">
      <c r="B42" s="445" t="s">
        <v>442</v>
      </c>
      <c r="C42" s="383" t="s">
        <v>387</v>
      </c>
      <c r="D42" s="57">
        <f>Data!C31</f>
        <v>110</v>
      </c>
      <c r="E42" s="141" t="s">
        <v>189</v>
      </c>
      <c r="F42" s="142" t="s">
        <v>190</v>
      </c>
      <c r="H42" s="223"/>
    </row>
    <row r="43" spans="2:8" ht="19.5" customHeight="1" thickBot="1" x14ac:dyDescent="0.3">
      <c r="C43" s="71"/>
      <c r="D43" s="72"/>
      <c r="E43" s="72"/>
      <c r="F43" s="72"/>
      <c r="H43" s="223"/>
    </row>
    <row r="44" spans="2:8" ht="19.5" customHeight="1" thickBot="1" x14ac:dyDescent="0.3">
      <c r="C44" s="73" t="s">
        <v>154</v>
      </c>
      <c r="D44" s="59"/>
      <c r="E44" s="59"/>
      <c r="F44" s="59"/>
      <c r="H44" s="223"/>
    </row>
    <row r="45" spans="2:8" ht="19.5" customHeight="1" thickBot="1" x14ac:dyDescent="0.3">
      <c r="B45" s="206" t="s">
        <v>418</v>
      </c>
      <c r="C45" s="176" t="s">
        <v>0</v>
      </c>
      <c r="D45" s="170" t="s">
        <v>39</v>
      </c>
      <c r="E45" s="170" t="s">
        <v>70</v>
      </c>
      <c r="F45" s="171" t="s">
        <v>69</v>
      </c>
      <c r="H45" s="223"/>
    </row>
    <row r="46" spans="2:8" ht="19.5" customHeight="1" x14ac:dyDescent="0.25">
      <c r="B46" s="443" t="s">
        <v>443</v>
      </c>
      <c r="C46" s="161" t="s">
        <v>270</v>
      </c>
      <c r="D46" s="175">
        <v>0</v>
      </c>
      <c r="E46" s="163" t="s">
        <v>156</v>
      </c>
      <c r="F46" s="164" t="s">
        <v>157</v>
      </c>
      <c r="H46" s="223"/>
    </row>
    <row r="47" spans="2:8" ht="19.5" customHeight="1" x14ac:dyDescent="0.25">
      <c r="B47" s="34" t="s">
        <v>444</v>
      </c>
      <c r="C47" s="74" t="s">
        <v>271</v>
      </c>
      <c r="D47" s="134">
        <v>0</v>
      </c>
      <c r="E47" s="64" t="s">
        <v>155</v>
      </c>
      <c r="F47" s="63" t="s">
        <v>71</v>
      </c>
      <c r="H47" s="223"/>
    </row>
    <row r="48" spans="2:8" ht="19.5" customHeight="1" x14ac:dyDescent="0.25">
      <c r="B48" s="444" t="s">
        <v>474</v>
      </c>
      <c r="C48" s="61" t="s">
        <v>333</v>
      </c>
      <c r="D48" s="134">
        <v>0</v>
      </c>
      <c r="E48" s="64" t="s">
        <v>155</v>
      </c>
      <c r="F48" s="63" t="s">
        <v>71</v>
      </c>
      <c r="H48" s="223"/>
    </row>
    <row r="49" spans="2:8" ht="19.5" customHeight="1" x14ac:dyDescent="0.25">
      <c r="B49" s="444" t="s">
        <v>445</v>
      </c>
      <c r="C49" s="385" t="s">
        <v>272</v>
      </c>
      <c r="D49" s="384">
        <v>0.1</v>
      </c>
      <c r="E49" s="64" t="s">
        <v>155</v>
      </c>
      <c r="F49" s="63" t="s">
        <v>71</v>
      </c>
      <c r="H49" s="223"/>
    </row>
    <row r="50" spans="2:8" ht="19.5" customHeight="1" x14ac:dyDescent="0.25">
      <c r="B50" s="34" t="s">
        <v>446</v>
      </c>
      <c r="C50" s="386" t="s">
        <v>290</v>
      </c>
      <c r="D50" s="384">
        <v>0.1</v>
      </c>
      <c r="E50" s="64" t="s">
        <v>155</v>
      </c>
      <c r="F50" s="63" t="s">
        <v>71</v>
      </c>
    </row>
    <row r="51" spans="2:8" ht="19.5" customHeight="1" x14ac:dyDescent="0.25">
      <c r="B51" s="34" t="s">
        <v>447</v>
      </c>
      <c r="C51" s="74" t="s">
        <v>273</v>
      </c>
      <c r="D51" s="134">
        <v>0</v>
      </c>
      <c r="E51" s="64" t="s">
        <v>155</v>
      </c>
      <c r="F51" s="63" t="s">
        <v>71</v>
      </c>
    </row>
    <row r="52" spans="2:8" ht="19.5" customHeight="1" x14ac:dyDescent="0.25">
      <c r="B52" s="34" t="s">
        <v>448</v>
      </c>
      <c r="C52" s="74" t="s">
        <v>329</v>
      </c>
      <c r="D52" s="134">
        <v>0.1</v>
      </c>
      <c r="E52" s="64" t="s">
        <v>155</v>
      </c>
      <c r="F52" s="63" t="s">
        <v>71</v>
      </c>
    </row>
    <row r="53" spans="2:8" ht="19.5" customHeight="1" x14ac:dyDescent="0.25">
      <c r="B53" s="34" t="s">
        <v>449</v>
      </c>
      <c r="C53" s="74" t="s">
        <v>274</v>
      </c>
      <c r="D53" s="134">
        <v>0.1</v>
      </c>
      <c r="E53" s="64" t="s">
        <v>155</v>
      </c>
      <c r="F53" s="63" t="s">
        <v>71</v>
      </c>
    </row>
    <row r="54" spans="2:8" ht="19.5" customHeight="1" x14ac:dyDescent="0.25">
      <c r="B54" s="34" t="s">
        <v>475</v>
      </c>
      <c r="C54" s="314" t="s">
        <v>306</v>
      </c>
      <c r="D54" s="315">
        <v>0.1</v>
      </c>
      <c r="E54" s="313" t="s">
        <v>155</v>
      </c>
      <c r="F54" s="312" t="s">
        <v>71</v>
      </c>
    </row>
    <row r="55" spans="2:8" ht="19.5" customHeight="1" x14ac:dyDescent="0.25">
      <c r="B55" s="34" t="s">
        <v>476</v>
      </c>
      <c r="C55" s="314" t="s">
        <v>307</v>
      </c>
      <c r="D55" s="315">
        <v>0.1</v>
      </c>
      <c r="E55" s="313" t="s">
        <v>155</v>
      </c>
      <c r="F55" s="312" t="s">
        <v>71</v>
      </c>
    </row>
    <row r="56" spans="2:8" ht="19.5" customHeight="1" x14ac:dyDescent="0.25">
      <c r="B56" s="34" t="s">
        <v>477</v>
      </c>
      <c r="C56" s="314" t="s">
        <v>308</v>
      </c>
      <c r="D56" s="315">
        <v>0.1</v>
      </c>
      <c r="E56" s="313" t="s">
        <v>155</v>
      </c>
      <c r="F56" s="312" t="s">
        <v>71</v>
      </c>
    </row>
    <row r="57" spans="2:8" ht="19.5" customHeight="1" x14ac:dyDescent="0.25">
      <c r="B57" s="34" t="s">
        <v>450</v>
      </c>
      <c r="C57" s="74" t="s">
        <v>275</v>
      </c>
      <c r="D57" s="134">
        <v>0.1</v>
      </c>
      <c r="E57" s="64" t="s">
        <v>155</v>
      </c>
      <c r="F57" s="63" t="s">
        <v>71</v>
      </c>
    </row>
    <row r="58" spans="2:8" ht="19.5" customHeight="1" x14ac:dyDescent="0.25">
      <c r="B58" s="34" t="s">
        <v>451</v>
      </c>
      <c r="C58" s="74" t="s">
        <v>276</v>
      </c>
      <c r="D58" s="134">
        <v>0.1</v>
      </c>
      <c r="E58" s="64" t="s">
        <v>155</v>
      </c>
      <c r="F58" s="63" t="s">
        <v>71</v>
      </c>
    </row>
    <row r="59" spans="2:8" ht="19.5" customHeight="1" x14ac:dyDescent="0.25">
      <c r="B59" s="34" t="s">
        <v>479</v>
      </c>
      <c r="C59" s="311" t="s">
        <v>304</v>
      </c>
      <c r="D59" s="308">
        <f>Data!C25</f>
        <v>0</v>
      </c>
      <c r="E59" s="310" t="s">
        <v>158</v>
      </c>
      <c r="F59" s="309" t="s">
        <v>159</v>
      </c>
    </row>
    <row r="60" spans="2:8" ht="19.5" customHeight="1" x14ac:dyDescent="0.25">
      <c r="B60" s="444" t="s">
        <v>478</v>
      </c>
      <c r="C60" s="311" t="s">
        <v>305</v>
      </c>
      <c r="D60" s="308">
        <f>Data!C26</f>
        <v>0</v>
      </c>
      <c r="E60" s="310" t="s">
        <v>158</v>
      </c>
      <c r="F60" s="309" t="s">
        <v>159</v>
      </c>
    </row>
    <row r="61" spans="2:8" ht="19.5" customHeight="1" x14ac:dyDescent="0.25">
      <c r="B61" s="444" t="s">
        <v>452</v>
      </c>
      <c r="C61" s="61" t="s">
        <v>277</v>
      </c>
      <c r="D61" s="134">
        <v>16</v>
      </c>
      <c r="E61" s="64" t="s">
        <v>158</v>
      </c>
      <c r="F61" s="63" t="s">
        <v>159</v>
      </c>
    </row>
    <row r="62" spans="2:8" ht="19.5" customHeight="1" x14ac:dyDescent="0.25">
      <c r="B62" s="34" t="s">
        <v>453</v>
      </c>
      <c r="C62" s="74" t="s">
        <v>278</v>
      </c>
      <c r="D62" s="384">
        <v>0.1</v>
      </c>
      <c r="E62" s="64" t="s">
        <v>161</v>
      </c>
      <c r="F62" s="63" t="s">
        <v>160</v>
      </c>
    </row>
    <row r="63" spans="2:8" ht="19.5" customHeight="1" x14ac:dyDescent="0.25">
      <c r="B63" s="34" t="s">
        <v>454</v>
      </c>
      <c r="C63" s="74" t="s">
        <v>279</v>
      </c>
      <c r="D63" s="134">
        <v>0</v>
      </c>
      <c r="E63" s="64" t="s">
        <v>155</v>
      </c>
      <c r="F63" s="63" t="s">
        <v>71</v>
      </c>
    </row>
    <row r="64" spans="2:8" ht="19.5" customHeight="1" x14ac:dyDescent="0.25">
      <c r="B64" s="34" t="s">
        <v>455</v>
      </c>
      <c r="C64" s="74" t="s">
        <v>280</v>
      </c>
      <c r="D64" s="134">
        <v>0</v>
      </c>
      <c r="E64" s="64" t="s">
        <v>155</v>
      </c>
      <c r="F64" s="63" t="s">
        <v>71</v>
      </c>
    </row>
    <row r="65" spans="1:6" ht="19.5" customHeight="1" x14ac:dyDescent="0.25">
      <c r="B65" s="450" t="s">
        <v>456</v>
      </c>
      <c r="C65" s="76" t="s">
        <v>281</v>
      </c>
      <c r="D65" s="134">
        <v>0</v>
      </c>
      <c r="E65" s="64" t="s">
        <v>166</v>
      </c>
      <c r="F65" s="63" t="s">
        <v>165</v>
      </c>
    </row>
    <row r="66" spans="1:6" ht="19.5" customHeight="1" x14ac:dyDescent="0.25">
      <c r="B66" s="450" t="s">
        <v>457</v>
      </c>
      <c r="C66" s="76" t="s">
        <v>282</v>
      </c>
      <c r="D66" s="134">
        <v>0</v>
      </c>
      <c r="E66" s="64" t="s">
        <v>166</v>
      </c>
      <c r="F66" s="63" t="s">
        <v>165</v>
      </c>
    </row>
    <row r="67" spans="1:6" s="390" customFormat="1" ht="19.5" customHeight="1" x14ac:dyDescent="0.25">
      <c r="A67" s="60"/>
      <c r="B67" s="450" t="s">
        <v>458</v>
      </c>
      <c r="C67" s="387" t="s">
        <v>388</v>
      </c>
      <c r="D67" s="384">
        <v>0</v>
      </c>
      <c r="E67" s="388" t="s">
        <v>324</v>
      </c>
      <c r="F67" s="389" t="s">
        <v>325</v>
      </c>
    </row>
    <row r="68" spans="1:6" ht="19.5" customHeight="1" x14ac:dyDescent="0.25">
      <c r="B68" s="450" t="s">
        <v>459</v>
      </c>
      <c r="C68" s="76" t="s">
        <v>283</v>
      </c>
      <c r="D68" s="391">
        <v>0.01</v>
      </c>
      <c r="E68" s="64" t="s">
        <v>166</v>
      </c>
      <c r="F68" s="63" t="s">
        <v>165</v>
      </c>
    </row>
    <row r="69" spans="1:6" ht="19.5" customHeight="1" x14ac:dyDescent="0.25">
      <c r="B69" s="450" t="s">
        <v>460</v>
      </c>
      <c r="C69" s="76" t="s">
        <v>284</v>
      </c>
      <c r="D69" s="134">
        <v>0</v>
      </c>
      <c r="E69" s="64" t="s">
        <v>166</v>
      </c>
      <c r="F69" s="63" t="s">
        <v>165</v>
      </c>
    </row>
    <row r="70" spans="1:6" ht="19.5" customHeight="1" x14ac:dyDescent="0.25">
      <c r="B70" s="450" t="s">
        <v>461</v>
      </c>
      <c r="C70" s="76" t="s">
        <v>285</v>
      </c>
      <c r="D70" s="134">
        <v>0</v>
      </c>
      <c r="E70" s="64" t="s">
        <v>166</v>
      </c>
      <c r="F70" s="63" t="s">
        <v>165</v>
      </c>
    </row>
    <row r="71" spans="1:6" ht="19.5" customHeight="1" x14ac:dyDescent="0.25">
      <c r="B71" s="444" t="s">
        <v>462</v>
      </c>
      <c r="C71" s="444" t="s">
        <v>491</v>
      </c>
      <c r="D71" s="134">
        <v>0</v>
      </c>
      <c r="E71" s="64" t="s">
        <v>166</v>
      </c>
      <c r="F71" s="63" t="s">
        <v>165</v>
      </c>
    </row>
    <row r="72" spans="1:6" ht="19.5" customHeight="1" x14ac:dyDescent="0.25">
      <c r="B72" s="444" t="s">
        <v>463</v>
      </c>
      <c r="C72" s="444" t="s">
        <v>492</v>
      </c>
      <c r="D72" s="134">
        <v>0</v>
      </c>
      <c r="E72" s="64" t="s">
        <v>166</v>
      </c>
      <c r="F72" s="63" t="s">
        <v>165</v>
      </c>
    </row>
    <row r="73" spans="1:6" s="390" customFormat="1" ht="19.5" customHeight="1" x14ac:dyDescent="0.25">
      <c r="A73" s="60"/>
      <c r="B73" s="444" t="s">
        <v>464</v>
      </c>
      <c r="C73" s="385" t="s">
        <v>389</v>
      </c>
      <c r="D73" s="391">
        <v>0.01</v>
      </c>
      <c r="E73" s="388" t="s">
        <v>324</v>
      </c>
      <c r="F73" s="389" t="s">
        <v>325</v>
      </c>
    </row>
    <row r="74" spans="1:6" s="390" customFormat="1" ht="19.5" customHeight="1" x14ac:dyDescent="0.25">
      <c r="A74" s="60"/>
      <c r="B74" s="444" t="s">
        <v>465</v>
      </c>
      <c r="C74" s="385" t="s">
        <v>390</v>
      </c>
      <c r="D74" s="384">
        <v>0</v>
      </c>
      <c r="E74" s="388" t="s">
        <v>324</v>
      </c>
      <c r="F74" s="389" t="s">
        <v>325</v>
      </c>
    </row>
    <row r="75" spans="1:6" s="390" customFormat="1" ht="19.5" customHeight="1" x14ac:dyDescent="0.25">
      <c r="A75" s="60"/>
      <c r="B75" s="444" t="s">
        <v>466</v>
      </c>
      <c r="C75" s="385" t="s">
        <v>391</v>
      </c>
      <c r="D75" s="384">
        <v>0</v>
      </c>
      <c r="E75" s="388" t="s">
        <v>324</v>
      </c>
      <c r="F75" s="389" t="s">
        <v>325</v>
      </c>
    </row>
    <row r="76" spans="1:6" s="390" customFormat="1" ht="19.5" customHeight="1" x14ac:dyDescent="0.25">
      <c r="A76" s="60"/>
      <c r="B76" s="444" t="s">
        <v>467</v>
      </c>
      <c r="C76" s="385" t="s">
        <v>392</v>
      </c>
      <c r="D76" s="384">
        <v>0</v>
      </c>
      <c r="E76" s="388" t="s">
        <v>324</v>
      </c>
      <c r="F76" s="389" t="s">
        <v>325</v>
      </c>
    </row>
    <row r="77" spans="1:6" s="390" customFormat="1" ht="19.5" customHeight="1" x14ac:dyDescent="0.25">
      <c r="A77" s="60"/>
      <c r="B77" s="444" t="s">
        <v>468</v>
      </c>
      <c r="C77" s="385" t="s">
        <v>393</v>
      </c>
      <c r="D77" s="384">
        <v>0</v>
      </c>
      <c r="E77" s="388" t="s">
        <v>324</v>
      </c>
      <c r="F77" s="389" t="s">
        <v>325</v>
      </c>
    </row>
    <row r="78" spans="1:6" ht="19.5" customHeight="1" x14ac:dyDescent="0.25">
      <c r="B78" s="451" t="s">
        <v>469</v>
      </c>
      <c r="C78" s="155" t="s">
        <v>286</v>
      </c>
      <c r="D78" s="134">
        <v>0</v>
      </c>
      <c r="E78" s="64" t="s">
        <v>153</v>
      </c>
      <c r="F78" s="63" t="s">
        <v>150</v>
      </c>
    </row>
    <row r="79" spans="1:6" ht="19.5" customHeight="1" x14ac:dyDescent="0.25">
      <c r="B79" s="444" t="s">
        <v>470</v>
      </c>
      <c r="C79" s="61" t="s">
        <v>287</v>
      </c>
      <c r="D79" s="134">
        <v>0</v>
      </c>
      <c r="E79" s="64" t="s">
        <v>153</v>
      </c>
      <c r="F79" s="63" t="s">
        <v>150</v>
      </c>
    </row>
    <row r="80" spans="1:6" s="390" customFormat="1" ht="19.5" customHeight="1" x14ac:dyDescent="0.25">
      <c r="A80" s="60"/>
      <c r="B80" s="444" t="s">
        <v>471</v>
      </c>
      <c r="C80" s="385" t="s">
        <v>394</v>
      </c>
      <c r="D80" s="384">
        <v>0</v>
      </c>
      <c r="E80" s="388" t="s">
        <v>153</v>
      </c>
      <c r="F80" s="389" t="s">
        <v>150</v>
      </c>
    </row>
    <row r="81" spans="2:8" ht="19.5" customHeight="1" x14ac:dyDescent="0.25">
      <c r="B81" s="451" t="s">
        <v>472</v>
      </c>
      <c r="C81" s="155" t="s">
        <v>288</v>
      </c>
      <c r="D81" s="134">
        <v>0</v>
      </c>
      <c r="E81" s="64" t="s">
        <v>153</v>
      </c>
      <c r="F81" s="63" t="s">
        <v>150</v>
      </c>
    </row>
    <row r="82" spans="2:8" ht="19.5" customHeight="1" thickBot="1" x14ac:dyDescent="0.3">
      <c r="B82" s="445" t="s">
        <v>473</v>
      </c>
      <c r="C82" s="66" t="s">
        <v>289</v>
      </c>
      <c r="D82" s="135">
        <v>0</v>
      </c>
      <c r="E82" s="77" t="s">
        <v>153</v>
      </c>
      <c r="F82" s="68" t="s">
        <v>150</v>
      </c>
    </row>
    <row r="83" spans="2:8" ht="19.5" customHeight="1" x14ac:dyDescent="0.25">
      <c r="C83" s="58"/>
      <c r="D83" s="59"/>
      <c r="E83" s="59"/>
      <c r="F83" s="59"/>
    </row>
    <row r="84" spans="2:8" ht="19.5" customHeight="1" x14ac:dyDescent="0.25">
      <c r="C84" s="58"/>
      <c r="E84" s="59"/>
      <c r="F84" s="59"/>
      <c r="H84" s="75"/>
    </row>
    <row r="85" spans="2:8" ht="19.5" customHeight="1" x14ac:dyDescent="0.25">
      <c r="C85" s="58"/>
      <c r="D85" s="59"/>
      <c r="E85" s="59"/>
      <c r="F85" s="59"/>
    </row>
    <row r="86" spans="2:8" ht="19.5" customHeight="1" x14ac:dyDescent="0.25">
      <c r="D86" s="59"/>
      <c r="E86" s="59"/>
      <c r="F86" s="59"/>
    </row>
    <row r="87" spans="2:8" ht="19.5" customHeight="1" x14ac:dyDescent="0.25">
      <c r="D87" s="59"/>
      <c r="E87" s="59"/>
      <c r="F87" s="59"/>
    </row>
    <row r="88" spans="2:8" ht="19.5" customHeight="1" x14ac:dyDescent="0.25">
      <c r="D88" s="59"/>
      <c r="E88" s="59"/>
      <c r="F88" s="59"/>
    </row>
    <row r="89" spans="2:8" ht="19.5" customHeight="1" x14ac:dyDescent="0.25">
      <c r="D89" s="59"/>
      <c r="E89" s="59"/>
      <c r="F89" s="59"/>
    </row>
    <row r="90" spans="2:8" ht="19.5" customHeight="1" x14ac:dyDescent="0.25">
      <c r="D90" s="59"/>
      <c r="E90" s="59"/>
      <c r="F90" s="59"/>
    </row>
    <row r="91" spans="2:8" ht="19.5" customHeight="1" x14ac:dyDescent="0.25">
      <c r="D91" s="59"/>
      <c r="E91" s="59"/>
      <c r="F91" s="59"/>
    </row>
    <row r="92" spans="2:8" ht="19.5" customHeight="1" x14ac:dyDescent="0.25">
      <c r="D92" s="59"/>
      <c r="E92" s="59"/>
      <c r="F92" s="59"/>
    </row>
    <row r="93" spans="2:8" ht="19.5" customHeight="1" x14ac:dyDescent="0.25">
      <c r="D93" s="59"/>
      <c r="E93" s="59"/>
      <c r="F93" s="59"/>
    </row>
    <row r="94" spans="2:8" ht="19.5" customHeight="1" x14ac:dyDescent="0.25"/>
    <row r="95" spans="2:8" ht="19.5" customHeight="1" x14ac:dyDescent="0.25"/>
    <row r="96" spans="2:8" ht="19.5" customHeight="1" x14ac:dyDescent="0.25"/>
    <row r="97" ht="19.5" customHeight="1" x14ac:dyDescent="0.25"/>
  </sheetData>
  <sheetProtection selectLockedCells="1"/>
  <mergeCells count="2">
    <mergeCell ref="A2:F2"/>
    <mergeCell ref="I2:N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58"/>
  <sheetViews>
    <sheetView zoomScale="85" zoomScaleNormal="85" workbookViewId="0"/>
  </sheetViews>
  <sheetFormatPr baseColWidth="10" defaultColWidth="9.140625" defaultRowHeight="15" x14ac:dyDescent="0.25"/>
  <cols>
    <col min="1" max="1" width="8.28515625" style="334" customWidth="1"/>
    <col min="2" max="2" width="12.140625" style="334" customWidth="1"/>
    <col min="3" max="3" width="10.5703125" style="334" customWidth="1"/>
    <col min="4" max="4" width="12.42578125" style="334" customWidth="1"/>
    <col min="5" max="5" width="9.5703125" style="334" customWidth="1"/>
    <col min="6" max="6" width="10.7109375" style="334" customWidth="1"/>
    <col min="7" max="7" width="11.28515625" style="334" customWidth="1"/>
    <col min="8" max="8" width="14.85546875" style="334" customWidth="1"/>
    <col min="9" max="9" width="16.28515625" style="334" customWidth="1"/>
    <col min="10" max="10" width="16.140625" style="334" customWidth="1"/>
    <col min="11" max="11" width="11.7109375" style="334" customWidth="1"/>
    <col min="12" max="12" width="10.28515625" style="334" customWidth="1"/>
    <col min="13" max="13" width="15" style="334" customWidth="1"/>
    <col min="14" max="14" width="9.140625" style="334"/>
    <col min="15" max="15" width="12.85546875" style="334" customWidth="1"/>
    <col min="16" max="16" width="11.28515625" style="334" customWidth="1"/>
    <col min="17" max="17" width="9.140625" style="334"/>
    <col min="18" max="18" width="12.5703125" style="334" customWidth="1"/>
    <col min="19" max="21" width="9.140625" style="334"/>
    <col min="22" max="22" width="9" style="334" customWidth="1"/>
    <col min="23" max="23" width="11" style="334" customWidth="1"/>
    <col min="24" max="24" width="16" style="334" customWidth="1"/>
    <col min="25" max="25" width="14.7109375" style="334" customWidth="1"/>
    <col min="26" max="27" width="12.5703125" style="334" customWidth="1"/>
    <col min="28" max="28" width="9.140625" style="334"/>
    <col min="29" max="29" width="15.42578125" style="334" customWidth="1"/>
    <col min="30" max="16384" width="9.140625" style="334"/>
  </cols>
  <sheetData>
    <row r="1" spans="3:28" ht="16.5" customHeight="1" thickTop="1" thickBot="1" x14ac:dyDescent="0.3">
      <c r="C1" s="333" t="s">
        <v>111</v>
      </c>
      <c r="D1" s="496" t="s">
        <v>334</v>
      </c>
      <c r="E1" s="497"/>
      <c r="F1" s="497"/>
      <c r="G1" s="498"/>
    </row>
    <row r="2" spans="3:28" ht="16.5" customHeight="1" thickTop="1" thickBot="1" x14ac:dyDescent="0.3">
      <c r="C2" s="335" t="s">
        <v>111</v>
      </c>
      <c r="D2" s="499" t="s">
        <v>335</v>
      </c>
      <c r="E2" s="500"/>
      <c r="F2" s="500"/>
      <c r="G2" s="501"/>
    </row>
    <row r="3" spans="3:28" ht="16.5" thickTop="1" thickBot="1" x14ac:dyDescent="0.3"/>
    <row r="4" spans="3:28" ht="16.5" thickTop="1" thickBot="1" x14ac:dyDescent="0.3">
      <c r="H4" s="502" t="s">
        <v>336</v>
      </c>
      <c r="I4" s="503"/>
      <c r="J4" s="504"/>
      <c r="V4" s="505" t="s">
        <v>337</v>
      </c>
      <c r="W4" s="506"/>
      <c r="X4" s="507"/>
    </row>
    <row r="5" spans="3:28" ht="18.75" customHeight="1" thickTop="1" thickBot="1" x14ac:dyDescent="0.3">
      <c r="H5" s="508">
        <f>'Sumo forms'!D7</f>
        <v>420</v>
      </c>
      <c r="I5" s="509"/>
      <c r="J5" s="336" t="s">
        <v>71</v>
      </c>
      <c r="V5" s="510">
        <f>'Check fractions'!H7</f>
        <v>186.18227982596562</v>
      </c>
      <c r="W5" s="511"/>
      <c r="X5" s="337" t="s">
        <v>338</v>
      </c>
    </row>
    <row r="6" spans="3:28" ht="16.5" thickTop="1" thickBot="1" x14ac:dyDescent="0.3">
      <c r="H6" s="512">
        <v>100</v>
      </c>
      <c r="I6" s="513"/>
      <c r="J6" s="338" t="s">
        <v>111</v>
      </c>
      <c r="V6" s="514">
        <v>100</v>
      </c>
      <c r="W6" s="515"/>
      <c r="X6" s="339" t="s">
        <v>111</v>
      </c>
    </row>
    <row r="7" spans="3:28" ht="16.5" thickTop="1" thickBot="1" x14ac:dyDescent="0.3">
      <c r="H7" s="516">
        <v>100</v>
      </c>
      <c r="I7" s="517"/>
      <c r="J7" s="340" t="s">
        <v>111</v>
      </c>
      <c r="V7" s="518">
        <v>100</v>
      </c>
      <c r="W7" s="519"/>
      <c r="X7" s="341" t="s">
        <v>111</v>
      </c>
    </row>
    <row r="8" spans="3:28" ht="16.5" thickTop="1" thickBot="1" x14ac:dyDescent="0.3">
      <c r="I8" s="342"/>
      <c r="K8" s="343"/>
      <c r="V8" s="344"/>
      <c r="W8" s="345"/>
      <c r="X8" s="346"/>
      <c r="Y8" s="347"/>
    </row>
    <row r="9" spans="3:28" ht="16.5" thickTop="1" thickBot="1" x14ac:dyDescent="0.3">
      <c r="C9" s="520" t="s">
        <v>339</v>
      </c>
      <c r="D9" s="520"/>
      <c r="E9" s="520"/>
      <c r="F9" s="520"/>
      <c r="G9" s="348"/>
      <c r="H9" s="347"/>
      <c r="I9" s="349"/>
      <c r="J9" s="347"/>
      <c r="K9" s="520" t="s">
        <v>340</v>
      </c>
      <c r="L9" s="520"/>
      <c r="M9" s="520"/>
      <c r="U9" s="349"/>
      <c r="Y9" s="345"/>
    </row>
    <row r="10" spans="3:28" ht="15.75" customHeight="1" thickTop="1" thickBot="1" x14ac:dyDescent="0.3">
      <c r="C10" s="521">
        <f>Data!G14</f>
        <v>250</v>
      </c>
      <c r="D10" s="521"/>
      <c r="E10" s="521"/>
      <c r="F10" s="336" t="s">
        <v>71</v>
      </c>
      <c r="K10" s="521">
        <f>Data!C15</f>
        <v>170</v>
      </c>
      <c r="L10" s="521"/>
      <c r="M10" s="336" t="s">
        <v>71</v>
      </c>
      <c r="T10" s="522" t="s">
        <v>341</v>
      </c>
      <c r="U10" s="522"/>
      <c r="V10" s="522"/>
      <c r="W10" s="522"/>
      <c r="Y10" s="522" t="s">
        <v>342</v>
      </c>
      <c r="Z10" s="522"/>
      <c r="AA10" s="522"/>
      <c r="AB10" s="522"/>
    </row>
    <row r="11" spans="3:28" ht="19.5" customHeight="1" thickTop="1" thickBot="1" x14ac:dyDescent="0.3">
      <c r="C11" s="523">
        <f>100*C10/H5</f>
        <v>59.523809523809526</v>
      </c>
      <c r="D11" s="523"/>
      <c r="E11" s="523"/>
      <c r="F11" s="336" t="s">
        <v>111</v>
      </c>
      <c r="K11" s="523">
        <f>100*K10/H5</f>
        <v>40.476190476190474</v>
      </c>
      <c r="L11" s="523"/>
      <c r="M11" s="338" t="s">
        <v>111</v>
      </c>
      <c r="T11" s="524">
        <f>V5-Y11</f>
        <v>28.178939649335319</v>
      </c>
      <c r="U11" s="524"/>
      <c r="V11" s="524"/>
      <c r="W11" s="350" t="s">
        <v>338</v>
      </c>
      <c r="Y11" s="524">
        <f>'Check fractions'!H8</f>
        <v>158.0033401766303</v>
      </c>
      <c r="Z11" s="524"/>
      <c r="AA11" s="524"/>
      <c r="AB11" s="350" t="s">
        <v>338</v>
      </c>
    </row>
    <row r="12" spans="3:28" ht="16.5" thickTop="1" thickBot="1" x14ac:dyDescent="0.3">
      <c r="C12" s="525">
        <f>100*C10/H5</f>
        <v>59.523809523809526</v>
      </c>
      <c r="D12" s="525"/>
      <c r="E12" s="525"/>
      <c r="F12" s="336" t="s">
        <v>111</v>
      </c>
      <c r="K12" s="525">
        <f>K10/H5*100</f>
        <v>40.476190476190474</v>
      </c>
      <c r="L12" s="525"/>
      <c r="M12" s="340" t="s">
        <v>111</v>
      </c>
      <c r="T12" s="526">
        <f>100*T11/V5</f>
        <v>15.135135135135126</v>
      </c>
      <c r="U12" s="526"/>
      <c r="V12" s="526"/>
      <c r="W12" s="337" t="s">
        <v>111</v>
      </c>
      <c r="Y12" s="526">
        <f>100*Y11/V5</f>
        <v>84.86486486486487</v>
      </c>
      <c r="Z12" s="526"/>
      <c r="AA12" s="526"/>
      <c r="AB12" s="337" t="s">
        <v>111</v>
      </c>
    </row>
    <row r="13" spans="3:28" ht="16.5" thickTop="1" thickBot="1" x14ac:dyDescent="0.3">
      <c r="D13" s="342"/>
      <c r="L13" s="342"/>
      <c r="T13" s="527">
        <f>100*T12/V5</f>
        <v>8.1292028163382319</v>
      </c>
      <c r="U13" s="527"/>
      <c r="V13" s="527"/>
      <c r="W13" s="337" t="s">
        <v>111</v>
      </c>
      <c r="Y13" s="527">
        <f>100*Y12/V5</f>
        <v>45.581601505896543</v>
      </c>
      <c r="Z13" s="527"/>
      <c r="AA13" s="527"/>
      <c r="AB13" s="337" t="s">
        <v>111</v>
      </c>
    </row>
    <row r="14" spans="3:28" ht="16.5" thickTop="1" thickBot="1" x14ac:dyDescent="0.3">
      <c r="D14" s="342"/>
      <c r="J14" s="520" t="s">
        <v>343</v>
      </c>
      <c r="K14" s="520"/>
      <c r="L14" s="349"/>
      <c r="M14" s="346"/>
      <c r="N14" s="520" t="s">
        <v>344</v>
      </c>
      <c r="O14" s="520"/>
      <c r="Y14" s="351"/>
    </row>
    <row r="15" spans="3:28" ht="16.5" thickTop="1" thickBot="1" x14ac:dyDescent="0.3">
      <c r="D15" s="342"/>
      <c r="J15" s="352">
        <f>I21+J21</f>
        <v>85</v>
      </c>
      <c r="K15" s="336" t="s">
        <v>71</v>
      </c>
      <c r="N15" s="352">
        <f>Data!C16</f>
        <v>85</v>
      </c>
      <c r="O15" s="336" t="s">
        <v>71</v>
      </c>
      <c r="Y15" s="342"/>
    </row>
    <row r="16" spans="3:28" ht="16.5" thickTop="1" thickBot="1" x14ac:dyDescent="0.3">
      <c r="D16" s="342"/>
      <c r="J16" s="353">
        <f>J15/K10*100</f>
        <v>50</v>
      </c>
      <c r="K16" s="338" t="s">
        <v>111</v>
      </c>
      <c r="N16" s="353">
        <f>100*N15/K10</f>
        <v>50</v>
      </c>
      <c r="O16" s="338" t="s">
        <v>111</v>
      </c>
      <c r="Y16" s="349"/>
    </row>
    <row r="17" spans="2:29" ht="16.5" thickTop="1" thickBot="1" x14ac:dyDescent="0.3">
      <c r="D17" s="342"/>
      <c r="J17" s="354">
        <f>J15/H5*100</f>
        <v>20.238095238095237</v>
      </c>
      <c r="K17" s="340" t="s">
        <v>111</v>
      </c>
      <c r="N17" s="354">
        <f>100*N15/H5</f>
        <v>20.238095238095237</v>
      </c>
      <c r="O17" s="340" t="s">
        <v>111</v>
      </c>
      <c r="X17" s="355" t="s">
        <v>345</v>
      </c>
      <c r="Y17" s="355" t="s">
        <v>346</v>
      </c>
      <c r="Z17" s="355" t="s">
        <v>379</v>
      </c>
      <c r="AA17" s="355" t="s">
        <v>347</v>
      </c>
      <c r="AB17" s="355" t="s">
        <v>348</v>
      </c>
      <c r="AC17" s="355"/>
    </row>
    <row r="18" spans="2:29" ht="16.5" thickTop="1" thickBot="1" x14ac:dyDescent="0.3">
      <c r="D18" s="342"/>
      <c r="J18" s="356"/>
      <c r="K18" s="343"/>
      <c r="N18" s="356"/>
      <c r="O18" s="343"/>
      <c r="W18" s="357"/>
      <c r="X18" s="358">
        <f>B21/'Check fractions'!D23</f>
        <v>81.222222222222214</v>
      </c>
      <c r="Y18" s="358">
        <f>C21/'Check fractions'!D24</f>
        <v>45.230769230769226</v>
      </c>
      <c r="Z18" s="358">
        <f>D21/'Check fractions'!D22</f>
        <v>29.577464788732396</v>
      </c>
      <c r="AA18" s="358">
        <f>E21/'Check fractions'!D25</f>
        <v>1.4788732394366197</v>
      </c>
      <c r="AB18" s="358">
        <f>F21/'Check fractions'!D22</f>
        <v>0.63380281690140838</v>
      </c>
      <c r="AC18" s="350" t="s">
        <v>338</v>
      </c>
    </row>
    <row r="19" spans="2:29" ht="16.5" thickTop="1" thickBot="1" x14ac:dyDescent="0.3">
      <c r="D19" s="342"/>
      <c r="J19" s="342"/>
      <c r="N19" s="342"/>
      <c r="X19" s="359">
        <f>100*X18/$Y$11</f>
        <v>51.405383032678131</v>
      </c>
      <c r="Y19" s="359">
        <f t="shared" ref="Y19:AA19" si="0">100*Y18/$Y$11</f>
        <v>28.62646395968985</v>
      </c>
      <c r="Z19" s="359">
        <f t="shared" si="0"/>
        <v>18.719518685913886</v>
      </c>
      <c r="AA19" s="359">
        <f t="shared" si="0"/>
        <v>0.93597593429569448</v>
      </c>
      <c r="AB19" s="359">
        <f>100*AB18/$Y$11</f>
        <v>0.40113254326958325</v>
      </c>
      <c r="AC19" s="339" t="s">
        <v>111</v>
      </c>
    </row>
    <row r="20" spans="2:29" ht="16.5" thickTop="1" thickBot="1" x14ac:dyDescent="0.3">
      <c r="B20" s="360" t="s">
        <v>345</v>
      </c>
      <c r="C20" s="360" t="s">
        <v>346</v>
      </c>
      <c r="D20" s="360" t="s">
        <v>379</v>
      </c>
      <c r="E20" s="360" t="s">
        <v>347</v>
      </c>
      <c r="F20" s="360" t="s">
        <v>348</v>
      </c>
      <c r="G20" s="360"/>
      <c r="I20" s="360" t="s">
        <v>349</v>
      </c>
      <c r="J20" s="360" t="s">
        <v>350</v>
      </c>
      <c r="K20" s="360"/>
      <c r="M20" s="360" t="s">
        <v>351</v>
      </c>
      <c r="N20" s="360" t="s">
        <v>352</v>
      </c>
      <c r="O20" s="360" t="s">
        <v>353</v>
      </c>
      <c r="P20" s="360"/>
      <c r="X20" s="361">
        <f>100*X18/$V$5</f>
        <v>43.625108843948468</v>
      </c>
      <c r="Y20" s="361">
        <f t="shared" ref="Y20:AB20" si="1">100*Y18/$V$5</f>
        <v>24.293809954980038</v>
      </c>
      <c r="Z20" s="361">
        <f t="shared" si="1"/>
        <v>15.886294236153951</v>
      </c>
      <c r="AA20" s="361">
        <f t="shared" si="1"/>
        <v>0.79431471180769753</v>
      </c>
      <c r="AB20" s="361">
        <f t="shared" si="1"/>
        <v>0.34042059077472747</v>
      </c>
      <c r="AC20" s="341" t="s">
        <v>111</v>
      </c>
    </row>
    <row r="21" spans="2:29" ht="15.75" customHeight="1" thickTop="1" thickBot="1" x14ac:dyDescent="0.3">
      <c r="B21" s="352">
        <f>Balances!C7</f>
        <v>146.19999999999999</v>
      </c>
      <c r="C21" s="352">
        <f>Balances!C10</f>
        <v>58.8</v>
      </c>
      <c r="D21" s="352">
        <f>Balances!C11+Balances!C12</f>
        <v>42</v>
      </c>
      <c r="E21" s="352">
        <f>Balances!C13</f>
        <v>2.1</v>
      </c>
      <c r="F21" s="352">
        <f>SUM(Balances!C17:C26)</f>
        <v>0.89999999999999991</v>
      </c>
      <c r="G21" s="336" t="s">
        <v>71</v>
      </c>
      <c r="H21" s="343"/>
      <c r="I21" s="352">
        <f>Balances!C6</f>
        <v>68</v>
      </c>
      <c r="J21" s="352">
        <f>Balances!C9</f>
        <v>17</v>
      </c>
      <c r="K21" s="336" t="s">
        <v>71</v>
      </c>
      <c r="M21" s="352">
        <f>Balances!C3</f>
        <v>19.999999999999996</v>
      </c>
      <c r="N21" s="352">
        <f>Balances!C4+Balances!C5</f>
        <v>45</v>
      </c>
      <c r="O21" s="352">
        <f>Balances!C8</f>
        <v>19.999999999999996</v>
      </c>
      <c r="P21" s="336" t="s">
        <v>71</v>
      </c>
    </row>
    <row r="22" spans="2:29" ht="16.5" thickTop="1" thickBot="1" x14ac:dyDescent="0.3">
      <c r="B22" s="353">
        <f>100*B21/$C$10</f>
        <v>58.47999999999999</v>
      </c>
      <c r="C22" s="353">
        <f>100*C21/$C$10</f>
        <v>23.52</v>
      </c>
      <c r="D22" s="353">
        <f>100*D21/$C$10</f>
        <v>16.8</v>
      </c>
      <c r="E22" s="353">
        <f>100*E21/$C$10</f>
        <v>0.84</v>
      </c>
      <c r="F22" s="353">
        <f>100*F21/$C$10</f>
        <v>0.35999999999999993</v>
      </c>
      <c r="G22" s="338" t="s">
        <v>111</v>
      </c>
      <c r="H22" s="343"/>
      <c r="I22" s="353">
        <f>100*I21/$J$15</f>
        <v>80</v>
      </c>
      <c r="J22" s="353">
        <f>100*J21/$J$15</f>
        <v>20</v>
      </c>
      <c r="K22" s="338" t="s">
        <v>111</v>
      </c>
      <c r="M22" s="353">
        <f>100*M21/$N$15</f>
        <v>23.529411764705877</v>
      </c>
      <c r="N22" s="353">
        <f>100*N21/$N$15</f>
        <v>52.941176470588232</v>
      </c>
      <c r="O22" s="353">
        <f>100*O21/$N$15</f>
        <v>23.529411764705877</v>
      </c>
      <c r="P22" s="338" t="s">
        <v>111</v>
      </c>
    </row>
    <row r="23" spans="2:29" ht="16.5" thickTop="1" thickBot="1" x14ac:dyDescent="0.3">
      <c r="B23" s="362">
        <f>100*B21/$H$5</f>
        <v>34.809523809523803</v>
      </c>
      <c r="C23" s="362">
        <f>100*C21/$H$5</f>
        <v>14</v>
      </c>
      <c r="D23" s="362">
        <f>100*D21/$H$5</f>
        <v>10</v>
      </c>
      <c r="E23" s="362">
        <f>100*E21/$H$5</f>
        <v>0.5</v>
      </c>
      <c r="F23" s="362">
        <f>100*F21/$H$5</f>
        <v>0.21428571428571425</v>
      </c>
      <c r="G23" s="340" t="s">
        <v>111</v>
      </c>
      <c r="H23" s="343"/>
      <c r="I23" s="362">
        <f>100*I21/$H$5</f>
        <v>16.19047619047619</v>
      </c>
      <c r="J23" s="362">
        <f>100*J21/$H$5</f>
        <v>4.0476190476190474</v>
      </c>
      <c r="K23" s="340" t="s">
        <v>111</v>
      </c>
      <c r="M23" s="362">
        <f>100*M21/$H$5</f>
        <v>4.761904761904761</v>
      </c>
      <c r="N23" s="362">
        <f>100*N21/$H$5</f>
        <v>10.714285714285714</v>
      </c>
      <c r="O23" s="362">
        <f t="shared" ref="O23" si="2">100*O21/$H$5</f>
        <v>4.761904761904761</v>
      </c>
      <c r="P23" s="340" t="s">
        <v>111</v>
      </c>
    </row>
    <row r="24" spans="2:29" ht="15.75" thickTop="1" x14ac:dyDescent="0.25">
      <c r="E24" s="357"/>
    </row>
    <row r="27" spans="2:29" ht="15.75" thickBot="1" x14ac:dyDescent="0.3"/>
    <row r="28" spans="2:29" ht="16.5" thickTop="1" thickBot="1" x14ac:dyDescent="0.3">
      <c r="H28" s="528" t="s">
        <v>354</v>
      </c>
      <c r="I28" s="529"/>
      <c r="J28" s="530"/>
      <c r="T28" s="531" t="s">
        <v>380</v>
      </c>
      <c r="U28" s="532"/>
      <c r="V28" s="533"/>
    </row>
    <row r="29" spans="2:29" ht="16.5" thickTop="1" thickBot="1" x14ac:dyDescent="0.3">
      <c r="H29" s="534">
        <f>Data!C7+Data!C25+Data!C26</f>
        <v>34.4</v>
      </c>
      <c r="I29" s="535"/>
      <c r="J29" s="364" t="s">
        <v>355</v>
      </c>
      <c r="T29" s="536">
        <f>Data!C8</f>
        <v>4.3</v>
      </c>
      <c r="U29" s="537"/>
      <c r="V29" s="365" t="s">
        <v>44</v>
      </c>
    </row>
    <row r="30" spans="2:29" ht="16.5" thickTop="1" thickBot="1" x14ac:dyDescent="0.3">
      <c r="H30" s="538">
        <v>100</v>
      </c>
      <c r="I30" s="539"/>
      <c r="J30" s="366" t="s">
        <v>111</v>
      </c>
      <c r="T30" s="540">
        <v>100</v>
      </c>
      <c r="U30" s="541"/>
      <c r="V30" s="367" t="s">
        <v>111</v>
      </c>
    </row>
    <row r="31" spans="2:29" ht="16.5" thickTop="1" thickBot="1" x14ac:dyDescent="0.3">
      <c r="H31" s="542">
        <v>100</v>
      </c>
      <c r="I31" s="543"/>
      <c r="J31" s="368" t="s">
        <v>111</v>
      </c>
      <c r="T31" s="544">
        <v>100</v>
      </c>
      <c r="U31" s="545"/>
      <c r="V31" s="369" t="s">
        <v>111</v>
      </c>
    </row>
    <row r="32" spans="2:29" ht="15.75" thickTop="1" x14ac:dyDescent="0.25">
      <c r="I32" s="351"/>
      <c r="T32" s="351"/>
      <c r="U32" s="370"/>
      <c r="V32" s="370"/>
    </row>
    <row r="33" spans="2:30" ht="15.75" thickBot="1" x14ac:dyDescent="0.3">
      <c r="I33" s="342"/>
      <c r="T33" s="342"/>
    </row>
    <row r="34" spans="2:30" ht="16.5" thickTop="1" thickBot="1" x14ac:dyDescent="0.3">
      <c r="E34" s="528" t="s">
        <v>381</v>
      </c>
      <c r="F34" s="530"/>
      <c r="I34" s="342"/>
      <c r="K34" s="528" t="s">
        <v>356</v>
      </c>
      <c r="L34" s="530"/>
      <c r="R34" s="531" t="s">
        <v>357</v>
      </c>
      <c r="S34" s="533"/>
      <c r="T34" s="342"/>
      <c r="U34" s="371"/>
      <c r="W34" s="531" t="s">
        <v>358</v>
      </c>
      <c r="X34" s="533"/>
    </row>
    <row r="35" spans="2:30" ht="16.5" thickTop="1" thickBot="1" x14ac:dyDescent="0.3">
      <c r="E35" s="372">
        <f>H29-K35</f>
        <v>34.4</v>
      </c>
      <c r="F35" s="364" t="s">
        <v>355</v>
      </c>
      <c r="G35" s="346"/>
      <c r="H35" s="347"/>
      <c r="I35" s="349"/>
      <c r="J35" s="373"/>
      <c r="K35" s="372">
        <f>Data!C25+Data!C26</f>
        <v>0</v>
      </c>
      <c r="L35" s="364" t="s">
        <v>355</v>
      </c>
      <c r="R35" s="374">
        <f>Data!C24</f>
        <v>2</v>
      </c>
      <c r="S35" s="365" t="s">
        <v>44</v>
      </c>
      <c r="T35" s="373"/>
      <c r="U35" s="346"/>
      <c r="V35" s="349"/>
      <c r="W35" s="374">
        <f>T29-R35</f>
        <v>2.2999999999999998</v>
      </c>
      <c r="X35" s="365" t="s">
        <v>44</v>
      </c>
    </row>
    <row r="36" spans="2:30" ht="16.5" thickTop="1" thickBot="1" x14ac:dyDescent="0.3">
      <c r="E36" s="375">
        <f>100*E35/H29</f>
        <v>100</v>
      </c>
      <c r="F36" s="366" t="s">
        <v>111</v>
      </c>
      <c r="K36" s="375">
        <f>100*K35/H29</f>
        <v>0</v>
      </c>
      <c r="L36" s="366" t="s">
        <v>111</v>
      </c>
      <c r="R36" s="376">
        <f>100*R35/T29</f>
        <v>46.511627906976749</v>
      </c>
      <c r="S36" s="367" t="s">
        <v>111</v>
      </c>
      <c r="W36" s="376">
        <f>100*W35/T29</f>
        <v>53.488372093023251</v>
      </c>
      <c r="X36" s="367" t="s">
        <v>111</v>
      </c>
    </row>
    <row r="37" spans="2:30" ht="16.5" thickTop="1" thickBot="1" x14ac:dyDescent="0.3">
      <c r="E37" s="377">
        <f>100*E35/H29</f>
        <v>100</v>
      </c>
      <c r="F37" s="368" t="s">
        <v>111</v>
      </c>
      <c r="K37" s="377">
        <f>100*K35/H29</f>
        <v>0</v>
      </c>
      <c r="L37" s="368" t="s">
        <v>111</v>
      </c>
      <c r="R37" s="378">
        <f>100*R35/T29</f>
        <v>46.511627906976749</v>
      </c>
      <c r="S37" s="369" t="s">
        <v>111</v>
      </c>
      <c r="W37" s="378">
        <f>100*W35/T29</f>
        <v>53.488372093023251</v>
      </c>
      <c r="X37" s="369" t="s">
        <v>111</v>
      </c>
    </row>
    <row r="38" spans="2:30" ht="16.5" thickTop="1" thickBot="1" x14ac:dyDescent="0.3">
      <c r="E38" s="351"/>
      <c r="W38" s="345"/>
      <c r="X38" s="344"/>
      <c r="Y38" s="347"/>
      <c r="Z38" s="347"/>
      <c r="AA38" s="347"/>
      <c r="AB38" s="347"/>
      <c r="AC38" s="347"/>
    </row>
    <row r="39" spans="2:30" ht="16.5" thickTop="1" thickBot="1" x14ac:dyDescent="0.3">
      <c r="E39" s="342"/>
      <c r="V39" s="349"/>
      <c r="Z39" s="345"/>
      <c r="AC39" s="345"/>
    </row>
    <row r="40" spans="2:30" ht="16.5" thickTop="1" thickBot="1" x14ac:dyDescent="0.3">
      <c r="B40" s="528" t="s">
        <v>383</v>
      </c>
      <c r="C40" s="530"/>
      <c r="D40" s="346"/>
      <c r="E40" s="349"/>
      <c r="F40" s="347"/>
      <c r="G40" s="349"/>
      <c r="H40" s="528" t="s">
        <v>382</v>
      </c>
      <c r="I40" s="530"/>
      <c r="V40" s="531" t="s">
        <v>359</v>
      </c>
      <c r="W40" s="533"/>
      <c r="Z40" s="531" t="s">
        <v>360</v>
      </c>
      <c r="AA40" s="533"/>
      <c r="AC40" s="531" t="s">
        <v>361</v>
      </c>
      <c r="AD40" s="533"/>
    </row>
    <row r="41" spans="2:30" ht="16.5" thickTop="1" thickBot="1" x14ac:dyDescent="0.3">
      <c r="B41" s="372">
        <f>Data!C23</f>
        <v>24</v>
      </c>
      <c r="C41" s="364" t="s">
        <v>355</v>
      </c>
      <c r="H41" s="372">
        <f>E35-B41</f>
        <v>10.399999999999999</v>
      </c>
      <c r="I41" s="364" t="s">
        <v>355</v>
      </c>
      <c r="V41" s="374">
        <f>SUM(R49:U49)</f>
        <v>1.6400000000000001</v>
      </c>
      <c r="W41" s="365" t="s">
        <v>44</v>
      </c>
      <c r="Z41" s="374">
        <f>X49+Y49</f>
        <v>0.17</v>
      </c>
      <c r="AA41" s="365" t="s">
        <v>44</v>
      </c>
      <c r="AC41" s="374">
        <f>AB49+AC49</f>
        <v>0.49</v>
      </c>
      <c r="AD41" s="365" t="s">
        <v>44</v>
      </c>
    </row>
    <row r="42" spans="2:30" ht="16.5" thickTop="1" thickBot="1" x14ac:dyDescent="0.3">
      <c r="B42" s="375">
        <f>100*B41/E35</f>
        <v>69.767441860465112</v>
      </c>
      <c r="C42" s="366" t="s">
        <v>111</v>
      </c>
      <c r="H42" s="375">
        <f>100*H41/E35</f>
        <v>30.232558139534877</v>
      </c>
      <c r="I42" s="366" t="s">
        <v>111</v>
      </c>
      <c r="V42" s="376">
        <f>100*V41/W35</f>
        <v>71.304347826086968</v>
      </c>
      <c r="W42" s="367" t="s">
        <v>111</v>
      </c>
      <c r="Z42" s="376">
        <f>100*Z41/W35</f>
        <v>7.3913043478260878</v>
      </c>
      <c r="AA42" s="367" t="s">
        <v>111</v>
      </c>
      <c r="AC42" s="376">
        <f>100*AC41/W35</f>
        <v>21.304347826086957</v>
      </c>
      <c r="AD42" s="367" t="s">
        <v>111</v>
      </c>
    </row>
    <row r="43" spans="2:30" ht="16.5" thickTop="1" thickBot="1" x14ac:dyDescent="0.3">
      <c r="B43" s="377">
        <f>100*B41/H29</f>
        <v>69.767441860465112</v>
      </c>
      <c r="C43" s="368" t="s">
        <v>111</v>
      </c>
      <c r="H43" s="377">
        <f>100*H41/H29</f>
        <v>30.232558139534877</v>
      </c>
      <c r="I43" s="368" t="s">
        <v>111</v>
      </c>
      <c r="V43" s="378">
        <f>100*V41/T29</f>
        <v>38.139534883720934</v>
      </c>
      <c r="W43" s="369" t="s">
        <v>111</v>
      </c>
      <c r="Z43" s="378">
        <f>100*Z41/T29</f>
        <v>3.9534883720930236</v>
      </c>
      <c r="AA43" s="369" t="s">
        <v>111</v>
      </c>
      <c r="AC43" s="378">
        <f>100*AC41/T29</f>
        <v>11.395348837209303</v>
      </c>
      <c r="AD43" s="369" t="s">
        <v>111</v>
      </c>
    </row>
    <row r="44" spans="2:30" ht="16.5" thickTop="1" thickBot="1" x14ac:dyDescent="0.3">
      <c r="G44" s="347"/>
      <c r="H44" s="345"/>
      <c r="I44" s="346"/>
      <c r="J44" s="347"/>
      <c r="K44" s="347"/>
      <c r="L44" s="347"/>
      <c r="M44" s="347"/>
      <c r="V44" s="351"/>
      <c r="Z44" s="351"/>
      <c r="AC44" s="351"/>
    </row>
    <row r="45" spans="2:30" ht="16.5" thickTop="1" thickBot="1" x14ac:dyDescent="0.3">
      <c r="F45" s="349"/>
      <c r="J45" s="345"/>
      <c r="M45" s="345"/>
      <c r="T45" s="347"/>
      <c r="U45" s="347"/>
      <c r="V45" s="349"/>
      <c r="Z45" s="349"/>
      <c r="AC45" s="349"/>
    </row>
    <row r="46" spans="2:30" ht="16.5" thickTop="1" thickBot="1" x14ac:dyDescent="0.3">
      <c r="F46" s="528" t="s">
        <v>362</v>
      </c>
      <c r="G46" s="530"/>
      <c r="J46" s="528" t="s">
        <v>384</v>
      </c>
      <c r="K46" s="530"/>
      <c r="M46" s="528" t="s">
        <v>385</v>
      </c>
      <c r="N46" s="530"/>
      <c r="S46" s="342"/>
      <c r="Y46" s="342"/>
      <c r="AB46" s="342"/>
    </row>
    <row r="47" spans="2:30" ht="16.5" thickTop="1" thickBot="1" x14ac:dyDescent="0.3">
      <c r="F47" s="372">
        <f>B55+C55+D55+E55</f>
        <v>7.5499999999999972</v>
      </c>
      <c r="G47" s="364" t="s">
        <v>355</v>
      </c>
      <c r="J47" s="372">
        <f>H55+I55</f>
        <v>0.85000000000000009</v>
      </c>
      <c r="K47" s="364" t="s">
        <v>355</v>
      </c>
      <c r="M47" s="372">
        <f>L55+M55</f>
        <v>2</v>
      </c>
      <c r="N47" s="364" t="s">
        <v>355</v>
      </c>
      <c r="S47" s="349"/>
      <c r="Y47" s="349"/>
      <c r="AB47" s="349"/>
    </row>
    <row r="48" spans="2:30" ht="16.5" thickTop="1" thickBot="1" x14ac:dyDescent="0.3">
      <c r="F48" s="375">
        <f>100*F47/$H$41</f>
        <v>72.59615384615384</v>
      </c>
      <c r="G48" s="366" t="s">
        <v>111</v>
      </c>
      <c r="J48" s="375">
        <f>100*J47/H41</f>
        <v>8.1730769230769251</v>
      </c>
      <c r="K48" s="366" t="s">
        <v>111</v>
      </c>
      <c r="M48" s="375">
        <f>100*M47/H41</f>
        <v>19.230769230769234</v>
      </c>
      <c r="N48" s="366" t="s">
        <v>111</v>
      </c>
      <c r="R48" s="379" t="s">
        <v>363</v>
      </c>
      <c r="S48" s="379" t="s">
        <v>364</v>
      </c>
      <c r="T48" s="379" t="s">
        <v>365</v>
      </c>
      <c r="U48" s="379" t="s">
        <v>366</v>
      </c>
      <c r="V48" s="379"/>
      <c r="X48" s="363" t="s">
        <v>367</v>
      </c>
      <c r="Y48" s="363" t="s">
        <v>368</v>
      </c>
      <c r="Z48" s="379"/>
      <c r="AB48" s="379" t="s">
        <v>369</v>
      </c>
      <c r="AC48" s="379" t="s">
        <v>370</v>
      </c>
      <c r="AD48" s="379"/>
    </row>
    <row r="49" spans="2:30" ht="16.5" thickTop="1" thickBot="1" x14ac:dyDescent="0.3">
      <c r="F49" s="377">
        <f>100*F47/$H$29</f>
        <v>21.947674418604645</v>
      </c>
      <c r="G49" s="368" t="s">
        <v>111</v>
      </c>
      <c r="J49" s="377">
        <f>100*J47/H29</f>
        <v>2.4709302325581399</v>
      </c>
      <c r="K49" s="368" t="s">
        <v>111</v>
      </c>
      <c r="M49" s="377">
        <f>100*M47/H29</f>
        <v>5.8139534883720936</v>
      </c>
      <c r="N49" s="368" t="s">
        <v>111</v>
      </c>
      <c r="R49" s="374">
        <f>Balances!G17</f>
        <v>1.4629999999999999</v>
      </c>
      <c r="S49" s="374">
        <f>Balances!G18</f>
        <v>0.1</v>
      </c>
      <c r="T49" s="374">
        <f>Balances!G26</f>
        <v>1.8200000000000216E-2</v>
      </c>
      <c r="U49" s="374">
        <f>Balances!G25</f>
        <v>5.8799999999999998E-2</v>
      </c>
      <c r="V49" s="365" t="s">
        <v>44</v>
      </c>
      <c r="X49" s="374">
        <f>Balances!G22</f>
        <v>0.13600000000000001</v>
      </c>
      <c r="Y49" s="374">
        <f>Balances!G24</f>
        <v>3.4000000000000002E-2</v>
      </c>
      <c r="Z49" s="365" t="s">
        <v>44</v>
      </c>
      <c r="AB49" s="374">
        <f>Balances!G21</f>
        <v>0.45</v>
      </c>
      <c r="AC49" s="374">
        <f>Balances!G23</f>
        <v>3.9999999999999994E-2</v>
      </c>
      <c r="AD49" s="365" t="s">
        <v>44</v>
      </c>
    </row>
    <row r="50" spans="2:30" ht="16.5" thickTop="1" thickBot="1" x14ac:dyDescent="0.3">
      <c r="F50" s="351"/>
      <c r="J50" s="351"/>
      <c r="M50" s="351"/>
      <c r="R50" s="376">
        <f>100*R49/$V41</f>
        <v>89.207317073170714</v>
      </c>
      <c r="S50" s="376">
        <f t="shared" ref="S50" si="3">100*S49/$V41</f>
        <v>6.0975609756097553</v>
      </c>
      <c r="T50" s="376">
        <f>100*T49/$V41</f>
        <v>1.1097560975609886</v>
      </c>
      <c r="U50" s="376">
        <f>100*U49/$V41</f>
        <v>3.5853658536585362</v>
      </c>
      <c r="V50" s="376" t="s">
        <v>111</v>
      </c>
      <c r="X50" s="376">
        <f>100*X49/$Z41</f>
        <v>80</v>
      </c>
      <c r="Y50" s="376">
        <f>100*Y49/$Z41</f>
        <v>20</v>
      </c>
      <c r="Z50" s="367" t="s">
        <v>111</v>
      </c>
      <c r="AB50" s="376">
        <f>100*AB49/$AC41</f>
        <v>91.83673469387756</v>
      </c>
      <c r="AC50" s="376">
        <f>100*AC49/$AC41</f>
        <v>8.1632653061224474</v>
      </c>
      <c r="AD50" s="376" t="s">
        <v>111</v>
      </c>
    </row>
    <row r="51" spans="2:30" ht="16.5" thickTop="1" thickBot="1" x14ac:dyDescent="0.3">
      <c r="D51" s="347"/>
      <c r="E51" s="347"/>
      <c r="F51" s="349"/>
      <c r="J51" s="349"/>
      <c r="M51" s="349"/>
      <c r="R51" s="378">
        <f>100*R49/$T$29</f>
        <v>34.023255813953483</v>
      </c>
      <c r="S51" s="378">
        <f t="shared" ref="S51:U51" si="4">100*S49/$T$29</f>
        <v>2.3255813953488373</v>
      </c>
      <c r="T51" s="378">
        <f t="shared" si="4"/>
        <v>0.42325581395349343</v>
      </c>
      <c r="U51" s="378">
        <f t="shared" si="4"/>
        <v>1.3674418604651164</v>
      </c>
      <c r="V51" s="378" t="s">
        <v>111</v>
      </c>
      <c r="X51" s="378">
        <f>100*X49/$T$29</f>
        <v>3.1627906976744189</v>
      </c>
      <c r="Y51" s="378">
        <f>100*Y49/$T$29</f>
        <v>0.79069767441860472</v>
      </c>
      <c r="Z51" s="369" t="s">
        <v>111</v>
      </c>
      <c r="AB51" s="378">
        <f>100*AB49/$T$29</f>
        <v>10.465116279069768</v>
      </c>
      <c r="AC51" s="378">
        <f>100*AC49/$T$29</f>
        <v>0.93023255813953487</v>
      </c>
      <c r="AD51" s="378" t="s">
        <v>111</v>
      </c>
    </row>
    <row r="52" spans="2:30" ht="15.75" thickTop="1" x14ac:dyDescent="0.25">
      <c r="C52" s="342"/>
      <c r="I52" s="342"/>
      <c r="L52" s="342"/>
    </row>
    <row r="53" spans="2:30" ht="15.75" thickBot="1" x14ac:dyDescent="0.3">
      <c r="C53" s="349"/>
      <c r="I53" s="349"/>
      <c r="L53" s="349"/>
    </row>
    <row r="54" spans="2:30" ht="16.5" thickTop="1" thickBot="1" x14ac:dyDescent="0.3">
      <c r="B54" s="380" t="s">
        <v>371</v>
      </c>
      <c r="C54" s="380" t="s">
        <v>372</v>
      </c>
      <c r="D54" s="380" t="s">
        <v>373</v>
      </c>
      <c r="E54" s="380" t="s">
        <v>374</v>
      </c>
      <c r="F54" s="380"/>
      <c r="H54" s="380" t="s">
        <v>375</v>
      </c>
      <c r="I54" s="380" t="s">
        <v>376</v>
      </c>
      <c r="J54" s="381"/>
      <c r="L54" s="380" t="s">
        <v>377</v>
      </c>
      <c r="M54" s="380" t="s">
        <v>378</v>
      </c>
      <c r="N54" s="380"/>
    </row>
    <row r="55" spans="2:30" ht="16.5" thickTop="1" thickBot="1" x14ac:dyDescent="0.3">
      <c r="B55" s="372">
        <f>Balances!G4</f>
        <v>4.1229999999999993</v>
      </c>
      <c r="C55" s="372">
        <f>Balances!G5</f>
        <v>0.126</v>
      </c>
      <c r="D55" s="372">
        <f>Balances!G11</f>
        <v>2.7129999999999974</v>
      </c>
      <c r="E55" s="372">
        <f>Balances!G10</f>
        <v>0.58799999999999997</v>
      </c>
      <c r="F55" s="372" t="s">
        <v>355</v>
      </c>
      <c r="H55" s="372">
        <f>Balances!G7</f>
        <v>0.68</v>
      </c>
      <c r="I55" s="372">
        <f>Balances!G9</f>
        <v>0.17</v>
      </c>
      <c r="J55" s="364" t="s">
        <v>355</v>
      </c>
      <c r="L55" s="372">
        <f>Balances!G6</f>
        <v>1.8</v>
      </c>
      <c r="M55" s="372">
        <f>Balances!G8</f>
        <v>0.19999999999999996</v>
      </c>
      <c r="N55" s="372" t="s">
        <v>355</v>
      </c>
    </row>
    <row r="56" spans="2:30" ht="16.5" thickTop="1" thickBot="1" x14ac:dyDescent="0.3">
      <c r="B56" s="375">
        <f>100*B55/$H$41</f>
        <v>39.644230769230774</v>
      </c>
      <c r="C56" s="375">
        <f>100*C55/$H$41</f>
        <v>1.2115384615384617</v>
      </c>
      <c r="D56" s="375">
        <f>100*D55/$H$41</f>
        <v>26.086538461538439</v>
      </c>
      <c r="E56" s="375">
        <f>100*E55/$H$41</f>
        <v>5.6538461538461542</v>
      </c>
      <c r="F56" s="375" t="s">
        <v>111</v>
      </c>
      <c r="H56" s="375">
        <f>100*H55/$H$41</f>
        <v>6.5384615384615392</v>
      </c>
      <c r="I56" s="375">
        <f>100*I55/$H$41</f>
        <v>1.6346153846153848</v>
      </c>
      <c r="J56" s="366" t="s">
        <v>111</v>
      </c>
      <c r="L56" s="375">
        <f>100*L55/$H$41</f>
        <v>17.30769230769231</v>
      </c>
      <c r="M56" s="375">
        <f>100*M55/$H$41</f>
        <v>1.9230769230769229</v>
      </c>
      <c r="N56" s="375" t="s">
        <v>111</v>
      </c>
    </row>
    <row r="57" spans="2:30" ht="16.5" thickTop="1" thickBot="1" x14ac:dyDescent="0.3">
      <c r="B57" s="377">
        <f>100*B55/$H$29</f>
        <v>11.98546511627907</v>
      </c>
      <c r="C57" s="377">
        <f>100*C55/$H$29</f>
        <v>0.36627906976744184</v>
      </c>
      <c r="D57" s="377">
        <f>100*D55/$H$29</f>
        <v>7.8866279069767362</v>
      </c>
      <c r="E57" s="377">
        <f>100*E55/$H$29</f>
        <v>1.7093023255813953</v>
      </c>
      <c r="F57" s="377" t="s">
        <v>111</v>
      </c>
      <c r="H57" s="377">
        <f>100*H55/$H$29</f>
        <v>1.9767441860465118</v>
      </c>
      <c r="I57" s="377">
        <f>100*I55/$H$29</f>
        <v>0.49418604651162795</v>
      </c>
      <c r="J57" s="368" t="s">
        <v>111</v>
      </c>
      <c r="L57" s="377">
        <f>100*L55/$H$29</f>
        <v>5.2325581395348841</v>
      </c>
      <c r="M57" s="377">
        <f>100*M55/$H$29</f>
        <v>0.58139534883720922</v>
      </c>
      <c r="N57" s="377" t="s">
        <v>111</v>
      </c>
    </row>
    <row r="58" spans="2:30" ht="15.75" thickTop="1" x14ac:dyDescent="0.25"/>
  </sheetData>
  <mergeCells count="48">
    <mergeCell ref="F46:G46"/>
    <mergeCell ref="J46:K46"/>
    <mergeCell ref="M46:N46"/>
    <mergeCell ref="W34:X34"/>
    <mergeCell ref="B40:C40"/>
    <mergeCell ref="H40:I40"/>
    <mergeCell ref="V40:W40"/>
    <mergeCell ref="E34:F34"/>
    <mergeCell ref="Z40:AA40"/>
    <mergeCell ref="AC40:AD40"/>
    <mergeCell ref="H30:I30"/>
    <mergeCell ref="T30:U30"/>
    <mergeCell ref="H31:I31"/>
    <mergeCell ref="T31:U31"/>
    <mergeCell ref="K34:L34"/>
    <mergeCell ref="R34:S34"/>
    <mergeCell ref="J14:K14"/>
    <mergeCell ref="N14:O14"/>
    <mergeCell ref="H28:J28"/>
    <mergeCell ref="T28:V28"/>
    <mergeCell ref="H29:I29"/>
    <mergeCell ref="T29:U29"/>
    <mergeCell ref="C12:E12"/>
    <mergeCell ref="K12:L12"/>
    <mergeCell ref="T12:V12"/>
    <mergeCell ref="Y12:AA12"/>
    <mergeCell ref="T13:V13"/>
    <mergeCell ref="Y13:AA13"/>
    <mergeCell ref="C10:E10"/>
    <mergeCell ref="K10:L10"/>
    <mergeCell ref="T10:W10"/>
    <mergeCell ref="Y10:AB10"/>
    <mergeCell ref="C11:E11"/>
    <mergeCell ref="K11:L11"/>
    <mergeCell ref="T11:V11"/>
    <mergeCell ref="Y11:AA11"/>
    <mergeCell ref="H6:I6"/>
    <mergeCell ref="V6:W6"/>
    <mergeCell ref="H7:I7"/>
    <mergeCell ref="V7:W7"/>
    <mergeCell ref="C9:F9"/>
    <mergeCell ref="K9:M9"/>
    <mergeCell ref="D1:G1"/>
    <mergeCell ref="D2:G2"/>
    <mergeCell ref="H4:J4"/>
    <mergeCell ref="V4:X4"/>
    <mergeCell ref="H5:I5"/>
    <mergeCell ref="V5:W5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M37"/>
  <sheetViews>
    <sheetView showGridLines="0" topLeftCell="A2" zoomScale="85" zoomScaleNormal="85" workbookViewId="0">
      <selection activeCell="G17" sqref="G17"/>
    </sheetView>
  </sheetViews>
  <sheetFormatPr baseColWidth="10" defaultColWidth="9.140625" defaultRowHeight="18.75" customHeight="1" x14ac:dyDescent="0.25"/>
  <cols>
    <col min="1" max="1" width="4.28515625" customWidth="1"/>
    <col min="2" max="2" width="53.5703125" bestFit="1" customWidth="1"/>
    <col min="3" max="3" width="11" customWidth="1"/>
    <col min="4" max="4" width="13.28515625" customWidth="1"/>
    <col min="6" max="6" width="37.5703125" bestFit="1" customWidth="1"/>
    <col min="10" max="10" width="37.7109375" customWidth="1"/>
    <col min="11" max="11" width="12" bestFit="1" customWidth="1"/>
    <col min="12" max="12" width="16.140625" bestFit="1" customWidth="1"/>
  </cols>
  <sheetData>
    <row r="1" spans="2:13" ht="18.75" customHeight="1" thickBot="1" x14ac:dyDescent="0.3"/>
    <row r="2" spans="2:13" ht="18.75" customHeight="1" thickBot="1" x14ac:dyDescent="0.3">
      <c r="B2" s="206" t="s">
        <v>108</v>
      </c>
      <c r="C2" s="207" t="s">
        <v>71</v>
      </c>
      <c r="D2" s="208" t="s">
        <v>113</v>
      </c>
      <c r="F2" s="198" t="s">
        <v>202</v>
      </c>
      <c r="G2" s="199" t="s">
        <v>159</v>
      </c>
      <c r="H2" s="200" t="s">
        <v>113</v>
      </c>
      <c r="J2" s="213" t="s">
        <v>207</v>
      </c>
      <c r="K2" s="214" t="s">
        <v>13</v>
      </c>
      <c r="L2" s="215" t="s">
        <v>1</v>
      </c>
      <c r="M2" s="2"/>
    </row>
    <row r="3" spans="2:13" ht="18.75" customHeight="1" x14ac:dyDescent="0.25">
      <c r="B3" s="35" t="s">
        <v>2</v>
      </c>
      <c r="C3" s="36">
        <f>'Check fractions'!H4*'Check fractions'!D5/100</f>
        <v>19.999999999999996</v>
      </c>
      <c r="D3" s="37">
        <f t="shared" ref="D3:D13" si="0">C3/$C$28</f>
        <v>4.7619047619047609E-2</v>
      </c>
      <c r="F3" s="201" t="s">
        <v>48</v>
      </c>
      <c r="G3" s="202">
        <f>Data!C23</f>
        <v>24</v>
      </c>
      <c r="H3" s="203">
        <f>G3/$G$12</f>
        <v>0.69767441860465118</v>
      </c>
      <c r="J3" s="414" t="s">
        <v>203</v>
      </c>
      <c r="K3" s="392">
        <v>7.0000000000000007E-2</v>
      </c>
      <c r="L3" s="415" t="s">
        <v>204</v>
      </c>
    </row>
    <row r="4" spans="2:13" ht="18.75" customHeight="1" x14ac:dyDescent="0.25">
      <c r="B4" s="34" t="s">
        <v>317</v>
      </c>
      <c r="C4" s="38">
        <f>('Check fractions'!H5-Balances!C3-Balances!C8)*'Check fractions'!D15/100</f>
        <v>18</v>
      </c>
      <c r="D4" s="37">
        <f t="shared" si="0"/>
        <v>4.2857142857142858E-2</v>
      </c>
      <c r="F4" s="35" t="s">
        <v>198</v>
      </c>
      <c r="G4" s="216">
        <f>K3*(C11+C17+C18+C19+C20+C21+C22+C23)+K4*C12</f>
        <v>4.1229999999999993</v>
      </c>
      <c r="H4" s="37">
        <f>G4/$G$12</f>
        <v>0.11985465116279068</v>
      </c>
      <c r="J4" s="416" t="s">
        <v>323</v>
      </c>
      <c r="K4" s="393">
        <v>0.1</v>
      </c>
      <c r="L4" s="417" t="s">
        <v>204</v>
      </c>
    </row>
    <row r="5" spans="2:13" ht="18.75" customHeight="1" x14ac:dyDescent="0.25">
      <c r="B5" s="34" t="s">
        <v>318</v>
      </c>
      <c r="C5" s="38">
        <f>('Check fractions'!H5-Balances!C3-Balances!C8)*(100-'Check fractions'!D15)/100</f>
        <v>27</v>
      </c>
      <c r="D5" s="280">
        <f t="shared" si="0"/>
        <v>6.4285714285714279E-2</v>
      </c>
      <c r="F5" s="35" t="s">
        <v>330</v>
      </c>
      <c r="G5" s="216">
        <f>(C13+C26)*K5</f>
        <v>0.126</v>
      </c>
      <c r="H5" s="280">
        <f t="shared" ref="H5" si="1">G5/$G$12</f>
        <v>3.6627906976744186E-3</v>
      </c>
      <c r="J5" s="416" t="s">
        <v>322</v>
      </c>
      <c r="K5" s="393">
        <v>0.06</v>
      </c>
      <c r="L5" s="417" t="s">
        <v>204</v>
      </c>
    </row>
    <row r="6" spans="2:13" ht="18.75" customHeight="1" x14ac:dyDescent="0.25">
      <c r="B6" s="34" t="s">
        <v>109</v>
      </c>
      <c r="C6" s="38">
        <f>('Check fractions'!H4-'Check fractions'!H5)*(1-'Check fractions'!D14/100)</f>
        <v>68</v>
      </c>
      <c r="D6" s="37">
        <f t="shared" si="0"/>
        <v>0.16190476190476191</v>
      </c>
      <c r="F6" s="35" t="s">
        <v>199</v>
      </c>
      <c r="G6" s="216">
        <f>'Sumo forms'!D31/100*(Balances!C4+C5)</f>
        <v>1.8</v>
      </c>
      <c r="H6" s="37">
        <f t="shared" ref="H6:H11" si="2">G6/$G$12</f>
        <v>5.232558139534884E-2</v>
      </c>
      <c r="J6" s="418" t="s">
        <v>227</v>
      </c>
      <c r="K6" s="394">
        <v>0.01</v>
      </c>
      <c r="L6" s="419" t="s">
        <v>204</v>
      </c>
    </row>
    <row r="7" spans="2:13" ht="18.75" customHeight="1" x14ac:dyDescent="0.25">
      <c r="B7" s="34" t="s">
        <v>110</v>
      </c>
      <c r="C7" s="38">
        <f>Data!C14-Data!C15-SUM(C17:C26)-SUM(C10:C13)</f>
        <v>146.19999999999999</v>
      </c>
      <c r="D7" s="37">
        <f t="shared" si="0"/>
        <v>0.34809523809523807</v>
      </c>
      <c r="F7" s="35" t="s">
        <v>213</v>
      </c>
      <c r="G7" s="216">
        <f>K6*Balances!C6</f>
        <v>0.68</v>
      </c>
      <c r="H7" s="37">
        <f t="shared" si="2"/>
        <v>1.9767441860465119E-2</v>
      </c>
      <c r="J7" s="418" t="s">
        <v>229</v>
      </c>
      <c r="K7" s="394">
        <v>0.01</v>
      </c>
      <c r="L7" s="419" t="s">
        <v>204</v>
      </c>
    </row>
    <row r="8" spans="2:13" ht="18.75" customHeight="1" x14ac:dyDescent="0.25">
      <c r="B8" s="34" t="s">
        <v>7</v>
      </c>
      <c r="C8" s="36">
        <f>'Check fractions'!H4*'Check fractions'!D6/100</f>
        <v>19.999999999999996</v>
      </c>
      <c r="D8" s="37">
        <f t="shared" si="0"/>
        <v>4.7619047619047609E-2</v>
      </c>
      <c r="F8" s="35" t="s">
        <v>214</v>
      </c>
      <c r="G8" s="216">
        <f>K7*Balances!C8</f>
        <v>0.19999999999999996</v>
      </c>
      <c r="H8" s="37">
        <f t="shared" si="2"/>
        <v>5.8139534883720921E-3</v>
      </c>
      <c r="J8" s="418" t="s">
        <v>228</v>
      </c>
      <c r="K8" s="394">
        <v>0.01</v>
      </c>
      <c r="L8" s="419" t="s">
        <v>204</v>
      </c>
    </row>
    <row r="9" spans="2:13" ht="18.75" customHeight="1" x14ac:dyDescent="0.25">
      <c r="B9" s="34" t="s">
        <v>8</v>
      </c>
      <c r="C9" s="38">
        <f>('Check fractions'!H4-'Check fractions'!H5)*'Check fractions'!D14/100</f>
        <v>17</v>
      </c>
      <c r="D9" s="37">
        <f t="shared" si="0"/>
        <v>4.0476190476190478E-2</v>
      </c>
      <c r="F9" s="35" t="s">
        <v>215</v>
      </c>
      <c r="G9" s="216">
        <f>K8*Balances!C9</f>
        <v>0.17</v>
      </c>
      <c r="H9" s="37">
        <f t="shared" si="2"/>
        <v>4.9418604651162799E-3</v>
      </c>
      <c r="J9" s="420" t="s">
        <v>205</v>
      </c>
      <c r="K9" s="395">
        <v>0.02</v>
      </c>
      <c r="L9" s="421" t="s">
        <v>206</v>
      </c>
    </row>
    <row r="10" spans="2:13" ht="18.75" customHeight="1" x14ac:dyDescent="0.25">
      <c r="B10" s="34" t="s">
        <v>9</v>
      </c>
      <c r="C10" s="38">
        <f>'Check fractions'!G3*'Check fractions'!D10/100</f>
        <v>58.8</v>
      </c>
      <c r="D10" s="37">
        <f t="shared" si="0"/>
        <v>0.13999999999999999</v>
      </c>
      <c r="F10" s="35" t="s">
        <v>201</v>
      </c>
      <c r="G10" s="216">
        <f>'Sumo forms'!D32/100*Balances!C10</f>
        <v>0.58799999999999997</v>
      </c>
      <c r="H10" s="37">
        <f t="shared" si="2"/>
        <v>1.7093023255813952E-2</v>
      </c>
      <c r="J10" s="459" t="s">
        <v>490</v>
      </c>
      <c r="K10" s="395">
        <v>3.5000000000000003E-2</v>
      </c>
      <c r="L10" s="460" t="s">
        <v>206</v>
      </c>
    </row>
    <row r="11" spans="2:13" ht="18.75" customHeight="1" thickBot="1" x14ac:dyDescent="0.3">
      <c r="B11" s="34" t="s">
        <v>312</v>
      </c>
      <c r="C11" s="38">
        <f>'Check fractions'!G3*'Check fractions'!D11/100*(100-'Check fractions'!D12)/100</f>
        <v>4.2</v>
      </c>
      <c r="D11" s="37">
        <f t="shared" si="0"/>
        <v>0.01</v>
      </c>
      <c r="F11" s="204" t="s">
        <v>200</v>
      </c>
      <c r="G11" s="217">
        <f>G12-SUM(G3:G10)</f>
        <v>2.7129999999999974</v>
      </c>
      <c r="H11" s="205">
        <f t="shared" si="2"/>
        <v>7.886627906976737E-2</v>
      </c>
      <c r="J11" s="420" t="s">
        <v>230</v>
      </c>
      <c r="K11" s="395">
        <v>2E-3</v>
      </c>
      <c r="L11" s="421" t="s">
        <v>206</v>
      </c>
    </row>
    <row r="12" spans="2:13" ht="18.75" customHeight="1" thickBot="1" x14ac:dyDescent="0.3">
      <c r="B12" s="323" t="s">
        <v>316</v>
      </c>
      <c r="C12" s="324">
        <f>'Check fractions'!G3*'Check fractions'!D11/100*'Check fractions'!D12/100</f>
        <v>37.799999999999997</v>
      </c>
      <c r="D12" s="280">
        <f t="shared" si="0"/>
        <v>0.09</v>
      </c>
      <c r="F12" s="133" t="s">
        <v>219</v>
      </c>
      <c r="G12" s="43">
        <f>Data!C7</f>
        <v>34.4</v>
      </c>
      <c r="H12" s="44">
        <f>SUM(H3:H11)</f>
        <v>0.99999999999999989</v>
      </c>
      <c r="J12" s="420" t="s">
        <v>232</v>
      </c>
      <c r="K12" s="395">
        <v>2E-3</v>
      </c>
      <c r="L12" s="421" t="s">
        <v>206</v>
      </c>
    </row>
    <row r="13" spans="2:13" ht="18.75" customHeight="1" thickBot="1" x14ac:dyDescent="0.3">
      <c r="B13" s="39" t="s">
        <v>100</v>
      </c>
      <c r="C13" s="40">
        <f>'Check fractions'!D13/100*(C11+C12)</f>
        <v>2.1</v>
      </c>
      <c r="D13" s="41">
        <f t="shared" si="0"/>
        <v>5.0000000000000001E-3</v>
      </c>
      <c r="J13" s="420" t="s">
        <v>231</v>
      </c>
      <c r="K13" s="395">
        <v>2E-3</v>
      </c>
      <c r="L13" s="421" t="s">
        <v>206</v>
      </c>
    </row>
    <row r="14" spans="2:13" ht="18.75" customHeight="1" thickBot="1" x14ac:dyDescent="0.3">
      <c r="B14" s="1"/>
      <c r="J14" s="396" t="s">
        <v>291</v>
      </c>
      <c r="K14" s="397">
        <v>1.2</v>
      </c>
      <c r="L14" s="398" t="s">
        <v>292</v>
      </c>
    </row>
    <row r="15" spans="2:13" ht="18.75" customHeight="1" thickBot="1" x14ac:dyDescent="0.3">
      <c r="B15" s="206" t="s">
        <v>112</v>
      </c>
      <c r="C15" s="207" t="s">
        <v>71</v>
      </c>
      <c r="D15" s="208" t="s">
        <v>111</v>
      </c>
      <c r="F15" s="198" t="s">
        <v>212</v>
      </c>
      <c r="G15" s="199" t="s">
        <v>160</v>
      </c>
      <c r="H15" s="200" t="s">
        <v>113</v>
      </c>
      <c r="J15" s="396" t="s">
        <v>293</v>
      </c>
      <c r="K15" s="397">
        <v>0.2</v>
      </c>
      <c r="L15" s="398" t="s">
        <v>292</v>
      </c>
    </row>
    <row r="16" spans="2:13" ht="18.75" customHeight="1" x14ac:dyDescent="0.25">
      <c r="B16" s="239" t="s">
        <v>4</v>
      </c>
      <c r="C16" s="233">
        <f>-'Sumo forms'!D47</f>
        <v>0</v>
      </c>
      <c r="D16" s="269">
        <f>C16/$C$28</f>
        <v>0</v>
      </c>
      <c r="F16" s="201" t="s">
        <v>49</v>
      </c>
      <c r="G16" s="202">
        <f>Data!C24</f>
        <v>2</v>
      </c>
      <c r="H16" s="203">
        <f>G16/$G$27</f>
        <v>0.46511627906976744</v>
      </c>
      <c r="J16" s="399" t="s">
        <v>397</v>
      </c>
      <c r="K16" s="400">
        <v>8.2900000000000001E-2</v>
      </c>
      <c r="L16" s="401" t="s">
        <v>398</v>
      </c>
    </row>
    <row r="17" spans="2:12" ht="18.75" customHeight="1" x14ac:dyDescent="0.25">
      <c r="B17" s="276" t="s">
        <v>329</v>
      </c>
      <c r="C17" s="273">
        <f>'Sumo forms'!D52</f>
        <v>0.1</v>
      </c>
      <c r="D17" s="274">
        <f>C17/$C$28</f>
        <v>2.380952380952381E-4</v>
      </c>
      <c r="F17" s="35" t="s">
        <v>208</v>
      </c>
      <c r="G17" s="216">
        <f>K9*(C11+C13+C17+C18+C21+C22+C23+C26+C19+C20)+C12*K10</f>
        <v>1.4629999999999999</v>
      </c>
      <c r="H17" s="37">
        <f>G17/$G$27</f>
        <v>0.34023255813953485</v>
      </c>
      <c r="J17" s="396" t="s">
        <v>401</v>
      </c>
      <c r="K17" s="397">
        <v>1</v>
      </c>
      <c r="L17" s="398" t="s">
        <v>402</v>
      </c>
    </row>
    <row r="18" spans="2:12" ht="18.75" customHeight="1" x14ac:dyDescent="0.25">
      <c r="B18" s="276" t="s">
        <v>274</v>
      </c>
      <c r="C18" s="273">
        <f>'Sumo forms'!D53</f>
        <v>0.1</v>
      </c>
      <c r="D18" s="274">
        <f>C18/$C$28</f>
        <v>2.380952380952381E-4</v>
      </c>
      <c r="F18" s="278" t="s">
        <v>297</v>
      </c>
      <c r="G18" s="279">
        <f>'Sumo forms'!D62</f>
        <v>0.1</v>
      </c>
      <c r="H18" s="280">
        <f>G18/$G$27</f>
        <v>2.3255813953488375E-2</v>
      </c>
      <c r="J18" s="396" t="s">
        <v>403</v>
      </c>
      <c r="K18" s="397">
        <v>0.1</v>
      </c>
      <c r="L18" s="398" t="s">
        <v>402</v>
      </c>
    </row>
    <row r="19" spans="2:12" ht="18.75" customHeight="1" x14ac:dyDescent="0.25">
      <c r="B19" s="318" t="s">
        <v>306</v>
      </c>
      <c r="C19" s="316">
        <f>'Sumo forms'!D54</f>
        <v>0.1</v>
      </c>
      <c r="D19" s="317">
        <v>2.380952380952381E-4</v>
      </c>
      <c r="F19" s="278" t="s">
        <v>298</v>
      </c>
      <c r="G19" s="279">
        <f>('Sumo forms'!D70+'Sumo forms'!D72)*A_SFHFO_L*(AM_P/AM_Fe)+('Sumo forms'!D69+'Sumo forms'!D71)*A_SFHFO_H*(AM_P/AM_Fe)</f>
        <v>0</v>
      </c>
      <c r="H19" s="280">
        <f>G19/$G$27</f>
        <v>0</v>
      </c>
      <c r="J19" s="399" t="s">
        <v>399</v>
      </c>
      <c r="K19" s="400">
        <v>0.1135</v>
      </c>
      <c r="L19" s="401" t="s">
        <v>400</v>
      </c>
    </row>
    <row r="20" spans="2:12" ht="18.75" customHeight="1" x14ac:dyDescent="0.25">
      <c r="B20" s="318" t="s">
        <v>307</v>
      </c>
      <c r="C20" s="316">
        <f>'Sumo forms'!D55</f>
        <v>0.1</v>
      </c>
      <c r="D20" s="317">
        <v>2.380952380952381E-4</v>
      </c>
      <c r="F20" s="278" t="s">
        <v>416</v>
      </c>
      <c r="G20" s="279">
        <f>('Sumo forms'!D75+'Sumo forms'!D77)*A_SFHAO_L*(AM_P/AM_Al) +('Sumo forms'!D74+'Sumo forms'!D76)*A_SFHAO_H*(AM_P/AM_Al)</f>
        <v>0</v>
      </c>
      <c r="H20" s="280">
        <f>G20/$G$27</f>
        <v>0</v>
      </c>
      <c r="J20" s="402" t="s">
        <v>395</v>
      </c>
      <c r="K20" s="403">
        <f>(30+31+3*16)/31</f>
        <v>3.5161290322580645</v>
      </c>
      <c r="L20" s="404" t="s">
        <v>396</v>
      </c>
    </row>
    <row r="21" spans="2:12" ht="18.75" customHeight="1" x14ac:dyDescent="0.25">
      <c r="B21" s="318" t="s">
        <v>308</v>
      </c>
      <c r="C21" s="316">
        <f>'Sumo forms'!D56</f>
        <v>0.1</v>
      </c>
      <c r="D21" s="317">
        <v>2.380952380952381E-4</v>
      </c>
      <c r="F21" s="35" t="s">
        <v>209</v>
      </c>
      <c r="G21" s="216">
        <f>'Sumo forms'!D33/100*(Balances!C4+C5)</f>
        <v>0.45</v>
      </c>
      <c r="H21" s="37">
        <f t="shared" ref="H21:H26" si="3">G21/$G$27</f>
        <v>0.10465116279069768</v>
      </c>
      <c r="J21" s="402" t="s">
        <v>259</v>
      </c>
      <c r="K21" s="403">
        <v>1.67</v>
      </c>
      <c r="L21" s="404" t="s">
        <v>409</v>
      </c>
    </row>
    <row r="22" spans="2:12" ht="18.75" customHeight="1" x14ac:dyDescent="0.25">
      <c r="B22" s="276" t="s">
        <v>275</v>
      </c>
      <c r="C22" s="273">
        <f>'Sumo forms'!D57</f>
        <v>0.1</v>
      </c>
      <c r="D22" s="274">
        <f>C22/$C$28</f>
        <v>2.380952380952381E-4</v>
      </c>
      <c r="F22" s="35" t="s">
        <v>216</v>
      </c>
      <c r="G22" s="216">
        <f>K11*Balances!C6</f>
        <v>0.13600000000000001</v>
      </c>
      <c r="H22" s="37">
        <f t="shared" si="3"/>
        <v>3.162790697674419E-2</v>
      </c>
      <c r="J22" s="405" t="s">
        <v>296</v>
      </c>
      <c r="K22" s="406">
        <v>55.844999999999999</v>
      </c>
      <c r="L22" s="407" t="s">
        <v>295</v>
      </c>
    </row>
    <row r="23" spans="2:12" ht="18.75" customHeight="1" x14ac:dyDescent="0.25">
      <c r="B23" s="276" t="s">
        <v>276</v>
      </c>
      <c r="C23" s="273">
        <f>'Sumo forms'!D58</f>
        <v>0.1</v>
      </c>
      <c r="D23" s="274">
        <f>C23/$C$28</f>
        <v>2.380952380952381E-4</v>
      </c>
      <c r="F23" s="35" t="s">
        <v>217</v>
      </c>
      <c r="G23" s="216">
        <f>K12*Balances!C8</f>
        <v>3.9999999999999994E-2</v>
      </c>
      <c r="H23" s="37">
        <f t="shared" si="3"/>
        <v>9.302325581395347E-3</v>
      </c>
      <c r="J23" s="405" t="s">
        <v>404</v>
      </c>
      <c r="K23" s="406">
        <v>26.9815</v>
      </c>
      <c r="L23" s="407" t="s">
        <v>295</v>
      </c>
    </row>
    <row r="24" spans="2:12" ht="18.75" customHeight="1" x14ac:dyDescent="0.25">
      <c r="B24" s="275" t="s">
        <v>272</v>
      </c>
      <c r="C24" s="273">
        <f>'Sumo forms'!D49</f>
        <v>0.1</v>
      </c>
      <c r="D24" s="274">
        <f>C24/$C$28</f>
        <v>2.380952380952381E-4</v>
      </c>
      <c r="F24" s="35" t="s">
        <v>218</v>
      </c>
      <c r="G24" s="216">
        <f>K13*Balances!C9</f>
        <v>3.4000000000000002E-2</v>
      </c>
      <c r="H24" s="37">
        <f t="shared" si="3"/>
        <v>7.9069767441860474E-3</v>
      </c>
      <c r="J24" s="405" t="s">
        <v>294</v>
      </c>
      <c r="K24" s="406">
        <v>30.973762199999999</v>
      </c>
      <c r="L24" s="407" t="s">
        <v>295</v>
      </c>
    </row>
    <row r="25" spans="2:12" ht="18.75" customHeight="1" x14ac:dyDescent="0.25">
      <c r="B25" s="275" t="s">
        <v>290</v>
      </c>
      <c r="C25" s="273">
        <f>'Sumo forms'!D50</f>
        <v>0.1</v>
      </c>
      <c r="D25" s="274">
        <f>C25/$C$28</f>
        <v>2.380952380952381E-4</v>
      </c>
      <c r="F25" s="35" t="s">
        <v>211</v>
      </c>
      <c r="G25" s="216">
        <f>'Sumo forms'!D34/100*Balances!C10</f>
        <v>5.8799999999999998E-2</v>
      </c>
      <c r="H25" s="37">
        <f t="shared" si="3"/>
        <v>1.3674418604651163E-2</v>
      </c>
      <c r="J25" s="408" t="s">
        <v>406</v>
      </c>
      <c r="K25" s="409">
        <v>106.86702</v>
      </c>
      <c r="L25" s="410" t="s">
        <v>295</v>
      </c>
    </row>
    <row r="26" spans="2:12" ht="18.75" customHeight="1" thickBot="1" x14ac:dyDescent="0.3">
      <c r="B26" s="270" t="s">
        <v>191</v>
      </c>
      <c r="C26" s="271">
        <f>'Sumo forms'!D51</f>
        <v>0</v>
      </c>
      <c r="D26" s="272">
        <f>C26/$C$28</f>
        <v>0</v>
      </c>
      <c r="F26" s="204" t="s">
        <v>210</v>
      </c>
      <c r="G26" s="217">
        <f>G27-SUM(G16:G25)</f>
        <v>1.8200000000000216E-2</v>
      </c>
      <c r="H26" s="205">
        <f t="shared" si="3"/>
        <v>4.2325581395349339E-3</v>
      </c>
      <c r="J26" s="405" t="s">
        <v>407</v>
      </c>
      <c r="K26" s="406">
        <v>78.003519999999995</v>
      </c>
      <c r="L26" s="407" t="s">
        <v>295</v>
      </c>
    </row>
    <row r="27" spans="2:12" ht="18.75" customHeight="1" thickBot="1" x14ac:dyDescent="0.3">
      <c r="B27" s="132"/>
      <c r="F27" s="133" t="s">
        <v>220</v>
      </c>
      <c r="G27" s="43">
        <f>Data!C8</f>
        <v>4.3</v>
      </c>
      <c r="H27" s="44">
        <f>SUM(H16:H26)</f>
        <v>1</v>
      </c>
      <c r="J27" s="411" t="s">
        <v>405</v>
      </c>
      <c r="K27" s="412">
        <v>94.971362200000002</v>
      </c>
      <c r="L27" s="413" t="s">
        <v>295</v>
      </c>
    </row>
    <row r="28" spans="2:12" ht="18.75" customHeight="1" thickBot="1" x14ac:dyDescent="0.3">
      <c r="B28" s="133" t="s">
        <v>16</v>
      </c>
      <c r="C28" s="43">
        <f>Data!C14</f>
        <v>420</v>
      </c>
      <c r="D28" s="44">
        <f>SUM(D3:D13)+SUM(D16:D26)</f>
        <v>0.99999999999999978</v>
      </c>
    </row>
    <row r="29" spans="2:12" ht="18.75" customHeight="1" thickBot="1" x14ac:dyDescent="0.3">
      <c r="B29" s="132"/>
    </row>
    <row r="30" spans="2:12" ht="18.75" customHeight="1" thickBot="1" x14ac:dyDescent="0.3">
      <c r="B30" s="206" t="s">
        <v>337</v>
      </c>
      <c r="C30" s="422" t="s">
        <v>150</v>
      </c>
      <c r="D30" s="423" t="s">
        <v>113</v>
      </c>
    </row>
    <row r="31" spans="2:12" ht="18.75" customHeight="1" x14ac:dyDescent="0.25">
      <c r="B31" s="424" t="s">
        <v>149</v>
      </c>
      <c r="C31" s="316">
        <f>C37-SUM(C32:C36)</f>
        <v>27.797394278651012</v>
      </c>
      <c r="D31" s="317">
        <f>C31/$C$37</f>
        <v>0.14930204047686332</v>
      </c>
    </row>
    <row r="32" spans="2:12" ht="18.75" customHeight="1" x14ac:dyDescent="0.25">
      <c r="B32" s="424" t="s">
        <v>410</v>
      </c>
      <c r="C32" s="316">
        <f>(1-f_H2O_HFO_TSS)*(SUM('Sumo forms'!D68:D72)+'Sumo forms'!D65)*MM_HFO/AM_Fe+ ('Sumo forms'!D70+'Sumo forms'!D72)*A_SFHFO_L*(MM_PO4/AM_Fe)+('Sumo forms'!D69+'Sumo forms'!D71)*A_SFHFO_H*(MM_PO4/AM_Fe)</f>
        <v>1.7549958643029814E-2</v>
      </c>
      <c r="D32" s="317">
        <f>C32/$C$37</f>
        <v>9.4262239453908741E-5</v>
      </c>
    </row>
    <row r="33" spans="2:4" ht="18.75" customHeight="1" x14ac:dyDescent="0.25">
      <c r="B33" s="424" t="s">
        <v>411</v>
      </c>
      <c r="C33" s="316">
        <f>(1-f_H2O_HAO_TSS)*(SUM('Sumo forms'!D73:D77)+'Sumo forms'!D67)*MM_HAO/AM_Al+ ('Sumo forms'!D75+'Sumo forms'!D77)*A_SFHAO_L*(MM_PO4/AM_Al) +('Sumo forms'!D74+'Sumo forms'!D76)*A_SFHAO_H*(MM_PO4/AM_Al)</f>
        <v>1.2382508815471392E-2</v>
      </c>
      <c r="D33" s="317">
        <f t="shared" ref="D33:D36" si="4">C33/$C$37</f>
        <v>6.6507450800613112E-5</v>
      </c>
    </row>
    <row r="34" spans="2:4" ht="18.75" customHeight="1" x14ac:dyDescent="0.25">
      <c r="B34" s="425" t="s">
        <v>412</v>
      </c>
      <c r="C34" s="316">
        <f>SUM('Sumo forms'!D78:D82)</f>
        <v>0</v>
      </c>
      <c r="D34" s="317">
        <f t="shared" si="4"/>
        <v>0</v>
      </c>
    </row>
    <row r="35" spans="2:4" ht="18.75" customHeight="1" x14ac:dyDescent="0.25">
      <c r="B35" s="425" t="s">
        <v>413</v>
      </c>
      <c r="C35" s="316">
        <f>i_TSS_PP*'Sumo forms'!D62</f>
        <v>0.35161290322580646</v>
      </c>
      <c r="D35" s="317">
        <f t="shared" si="4"/>
        <v>1.8885411842334166E-3</v>
      </c>
    </row>
    <row r="36" spans="2:4" ht="18.75" customHeight="1" thickBot="1" x14ac:dyDescent="0.3">
      <c r="B36" s="426" t="s">
        <v>414</v>
      </c>
      <c r="C36" s="271">
        <f>'Check fractions'!H8</f>
        <v>158.0033401766303</v>
      </c>
      <c r="D36" s="317">
        <f t="shared" si="4"/>
        <v>0.84864864864864875</v>
      </c>
    </row>
    <row r="37" spans="2:4" ht="18.75" customHeight="1" thickBot="1" x14ac:dyDescent="0.3">
      <c r="B37" s="133" t="s">
        <v>415</v>
      </c>
      <c r="C37" s="43">
        <f>'Check fractions'!H7</f>
        <v>186.18227982596562</v>
      </c>
      <c r="D37" s="44">
        <f>SUM(D31:D36)</f>
        <v>1</v>
      </c>
    </row>
  </sheetData>
  <sheetProtection selectLockedCells="1"/>
  <conditionalFormatting sqref="G26">
    <cfRule type="cellIs" dxfId="8" priority="3" operator="lessThan">
      <formula>0</formula>
    </cfRule>
  </conditionalFormatting>
  <conditionalFormatting sqref="G11">
    <cfRule type="cellIs" dxfId="7" priority="2" operator="lessThan">
      <formula>0</formula>
    </cfRule>
  </conditionalFormatting>
  <conditionalFormatting sqref="C7">
    <cfRule type="cellIs" dxfId="6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3"/>
  <sheetViews>
    <sheetView zoomScale="80" zoomScaleNormal="80" workbookViewId="0"/>
  </sheetViews>
  <sheetFormatPr baseColWidth="10" defaultColWidth="9.140625" defaultRowHeight="15" x14ac:dyDescent="0.25"/>
  <cols>
    <col min="1" max="1" width="17.5703125" style="4" customWidth="1"/>
    <col min="2" max="2" width="11.5703125" style="4" bestFit="1" customWidth="1"/>
    <col min="3" max="3" width="12.5703125" style="4" bestFit="1" customWidth="1"/>
    <col min="4" max="4" width="13.7109375" style="4" bestFit="1" customWidth="1"/>
    <col min="5" max="5" width="24" style="4" customWidth="1"/>
    <col min="6" max="6" width="9.140625" style="5"/>
    <col min="7" max="9" width="9.140625" style="6"/>
    <col min="10" max="10" width="12" style="6" customWidth="1"/>
    <col min="11" max="13" width="9.140625" style="6"/>
    <col min="14" max="16384" width="9.140625" style="7"/>
  </cols>
  <sheetData>
    <row r="1" spans="1:20" ht="15.75" x14ac:dyDescent="0.25">
      <c r="A1" s="3" t="s">
        <v>24</v>
      </c>
    </row>
    <row r="2" spans="1:20" x14ac:dyDescent="0.25">
      <c r="P2" s="8" t="s">
        <v>25</v>
      </c>
    </row>
    <row r="3" spans="1:20" x14ac:dyDescent="0.25">
      <c r="A3" s="9" t="s">
        <v>26</v>
      </c>
      <c r="B3" s="33">
        <f>B4*C3</f>
        <v>2400</v>
      </c>
      <c r="C3" s="33">
        <f>Data!C3</f>
        <v>24000</v>
      </c>
      <c r="D3" s="33">
        <f>D4*C3</f>
        <v>240000</v>
      </c>
      <c r="E3" s="10"/>
      <c r="F3" s="32" t="s">
        <v>27</v>
      </c>
      <c r="P3" s="11" t="s">
        <v>32</v>
      </c>
    </row>
    <row r="4" spans="1:20" x14ac:dyDescent="0.25">
      <c r="A4" s="9" t="s">
        <v>141</v>
      </c>
      <c r="B4" s="33">
        <v>0.1</v>
      </c>
      <c r="C4" s="33"/>
      <c r="D4" s="33">
        <v>10</v>
      </c>
      <c r="E4" s="10"/>
      <c r="P4" s="31" t="s">
        <v>142</v>
      </c>
    </row>
    <row r="5" spans="1:20" x14ac:dyDescent="0.25">
      <c r="A5" s="9" t="s">
        <v>28</v>
      </c>
      <c r="B5" s="33">
        <v>1</v>
      </c>
      <c r="C5" s="33">
        <v>2</v>
      </c>
      <c r="D5" s="33">
        <v>4</v>
      </c>
      <c r="F5" s="12" t="s">
        <v>29</v>
      </c>
      <c r="G5" s="13"/>
      <c r="H5" s="13"/>
      <c r="I5" s="13" t="s">
        <v>30</v>
      </c>
      <c r="J5" s="13"/>
      <c r="K5" s="13"/>
      <c r="L5" s="13" t="s">
        <v>31</v>
      </c>
      <c r="P5" s="31" t="s">
        <v>143</v>
      </c>
    </row>
    <row r="6" spans="1:20" x14ac:dyDescent="0.25">
      <c r="A6" s="14" t="s">
        <v>33</v>
      </c>
      <c r="B6" s="15">
        <f>AVERAGE(B10:B33)</f>
        <v>0.99999999999999989</v>
      </c>
      <c r="C6" s="15">
        <f>AVERAGE(C10:C33)</f>
        <v>1</v>
      </c>
      <c r="D6" s="15">
        <f>AVERAGE(D10:D33)</f>
        <v>0.99999999999999989</v>
      </c>
      <c r="E6" s="16"/>
      <c r="F6" s="17"/>
      <c r="G6" s="18">
        <f>AVERAGE(G10:G33)</f>
        <v>2400</v>
      </c>
      <c r="H6" s="19"/>
      <c r="I6" s="19"/>
      <c r="J6" s="18">
        <f>AVERAGE(J10:J33)</f>
        <v>24000</v>
      </c>
      <c r="K6" s="19"/>
      <c r="L6" s="19"/>
      <c r="M6" s="20">
        <f>AVERAGE(M10:M33)</f>
        <v>239999.99999999997</v>
      </c>
    </row>
    <row r="7" spans="1:20" x14ac:dyDescent="0.25">
      <c r="T7" s="4"/>
    </row>
    <row r="8" spans="1:20" x14ac:dyDescent="0.25">
      <c r="A8" s="21" t="s">
        <v>34</v>
      </c>
      <c r="B8" s="21" t="s">
        <v>35</v>
      </c>
      <c r="C8" s="21" t="s">
        <v>36</v>
      </c>
      <c r="D8" s="21" t="s">
        <v>37</v>
      </c>
      <c r="F8" s="22" t="s">
        <v>34</v>
      </c>
      <c r="G8" s="22" t="s">
        <v>14</v>
      </c>
      <c r="I8" s="23" t="s">
        <v>34</v>
      </c>
      <c r="J8" s="23" t="s">
        <v>14</v>
      </c>
      <c r="L8" s="23" t="s">
        <v>34</v>
      </c>
      <c r="M8" s="23" t="s">
        <v>14</v>
      </c>
    </row>
    <row r="9" spans="1:20" x14ac:dyDescent="0.25">
      <c r="A9" s="156" t="s">
        <v>180</v>
      </c>
      <c r="B9" s="156" t="s">
        <v>21</v>
      </c>
      <c r="C9" s="156" t="s">
        <v>21</v>
      </c>
      <c r="D9" s="156" t="s">
        <v>21</v>
      </c>
      <c r="F9" s="157" t="s">
        <v>181</v>
      </c>
      <c r="G9" s="157" t="s">
        <v>182</v>
      </c>
      <c r="I9" s="158" t="s">
        <v>181</v>
      </c>
      <c r="J9" s="158" t="s">
        <v>182</v>
      </c>
      <c r="L9" s="158" t="s">
        <v>181</v>
      </c>
      <c r="M9" s="158" t="s">
        <v>182</v>
      </c>
    </row>
    <row r="10" spans="1:20" x14ac:dyDescent="0.25">
      <c r="A10" s="4">
        <v>0</v>
      </c>
      <c r="B10" s="4">
        <v>0.92370848053769694</v>
      </c>
      <c r="C10" s="4">
        <f t="shared" ref="C10:C33" si="0">1-(1-B10)/$C$5</f>
        <v>0.96185424026884847</v>
      </c>
      <c r="D10" s="4">
        <f t="shared" ref="D10:D33" si="1">1-(1-B10)/$D$5</f>
        <v>0.98092712013442429</v>
      </c>
      <c r="F10" s="159">
        <v>0</v>
      </c>
      <c r="G10" s="23">
        <f t="shared" ref="G10:G33" si="2">$B$3*B10</f>
        <v>2216.9003532904726</v>
      </c>
      <c r="I10" s="159">
        <v>0</v>
      </c>
      <c r="J10" s="24">
        <f>$C$3*C10</f>
        <v>23084.501766452362</v>
      </c>
      <c r="L10" s="159">
        <v>0</v>
      </c>
      <c r="M10" s="23">
        <f>$D$3*D10</f>
        <v>235422.50883226184</v>
      </c>
    </row>
    <row r="11" spans="1:20" x14ac:dyDescent="0.25">
      <c r="A11" s="4">
        <v>4.1666666999999998E-2</v>
      </c>
      <c r="B11" s="4">
        <v>0.79842741753157853</v>
      </c>
      <c r="C11" s="4">
        <f t="shared" si="0"/>
        <v>0.89921370876578921</v>
      </c>
      <c r="D11" s="4">
        <f t="shared" si="1"/>
        <v>0.94960685438289461</v>
      </c>
      <c r="F11" s="159">
        <v>1</v>
      </c>
      <c r="G11" s="23">
        <f t="shared" si="2"/>
        <v>1916.2258020757886</v>
      </c>
      <c r="I11" s="159">
        <v>1</v>
      </c>
      <c r="J11" s="24">
        <f t="shared" ref="J11:J33" si="3">$C$3*C11</f>
        <v>21581.12901037894</v>
      </c>
      <c r="L11" s="159">
        <v>1</v>
      </c>
      <c r="M11" s="23">
        <f t="shared" ref="M11:M33" si="4">$D$3*D11</f>
        <v>227905.64505189471</v>
      </c>
    </row>
    <row r="12" spans="1:20" x14ac:dyDescent="0.25">
      <c r="A12" s="4">
        <v>8.3333332999999996E-2</v>
      </c>
      <c r="B12" s="4">
        <v>0.67606828055988355</v>
      </c>
      <c r="C12" s="4">
        <f t="shared" si="0"/>
        <v>0.83803414027994183</v>
      </c>
      <c r="D12" s="4">
        <f t="shared" si="1"/>
        <v>0.91901707013997092</v>
      </c>
      <c r="F12" s="159">
        <v>2</v>
      </c>
      <c r="G12" s="23">
        <f t="shared" si="2"/>
        <v>1622.5638733437206</v>
      </c>
      <c r="I12" s="159">
        <v>2</v>
      </c>
      <c r="J12" s="24">
        <f t="shared" si="3"/>
        <v>20112.819366718602</v>
      </c>
      <c r="L12" s="159">
        <v>2</v>
      </c>
      <c r="M12" s="23">
        <f t="shared" si="4"/>
        <v>220564.09683359301</v>
      </c>
    </row>
    <row r="13" spans="1:20" x14ac:dyDescent="0.25">
      <c r="A13" s="4">
        <v>0.125</v>
      </c>
      <c r="B13" s="4">
        <v>0.58386775266027691</v>
      </c>
      <c r="C13" s="4">
        <f t="shared" si="0"/>
        <v>0.79193387633013845</v>
      </c>
      <c r="D13" s="4">
        <f t="shared" si="1"/>
        <v>0.89596693816506923</v>
      </c>
      <c r="F13" s="159">
        <v>3</v>
      </c>
      <c r="G13" s="23">
        <f t="shared" si="2"/>
        <v>1401.2826063846646</v>
      </c>
      <c r="I13" s="159">
        <v>3</v>
      </c>
      <c r="J13" s="24">
        <f t="shared" si="3"/>
        <v>19006.413031923323</v>
      </c>
      <c r="L13" s="159">
        <v>3</v>
      </c>
      <c r="M13" s="23">
        <f t="shared" si="4"/>
        <v>215032.06515961661</v>
      </c>
    </row>
    <row r="14" spans="1:20" x14ac:dyDescent="0.25">
      <c r="A14" s="4">
        <v>0.16666666699999999</v>
      </c>
      <c r="B14" s="4">
        <v>0.54484137120169696</v>
      </c>
      <c r="C14" s="4">
        <f t="shared" si="0"/>
        <v>0.77242068560084842</v>
      </c>
      <c r="D14" s="4">
        <f t="shared" si="1"/>
        <v>0.88621034280042421</v>
      </c>
      <c r="F14" s="159">
        <v>4</v>
      </c>
      <c r="G14" s="23">
        <f t="shared" si="2"/>
        <v>1307.6192908840726</v>
      </c>
      <c r="I14" s="159">
        <v>4</v>
      </c>
      <c r="J14" s="24">
        <f t="shared" si="3"/>
        <v>18538.096454420363</v>
      </c>
      <c r="L14" s="159">
        <v>4</v>
      </c>
      <c r="M14" s="23">
        <f t="shared" si="4"/>
        <v>212690.4822721018</v>
      </c>
    </row>
    <row r="15" spans="1:20" x14ac:dyDescent="0.25">
      <c r="A15" s="4">
        <v>0.20833333300000001</v>
      </c>
      <c r="B15" s="4">
        <v>0.57173167120325918</v>
      </c>
      <c r="C15" s="4">
        <f t="shared" si="0"/>
        <v>0.78586583560162959</v>
      </c>
      <c r="D15" s="4">
        <f t="shared" si="1"/>
        <v>0.89293291780081474</v>
      </c>
      <c r="F15" s="159">
        <v>5</v>
      </c>
      <c r="G15" s="23">
        <f t="shared" si="2"/>
        <v>1372.156010887822</v>
      </c>
      <c r="I15" s="159">
        <v>5</v>
      </c>
      <c r="J15" s="24">
        <f t="shared" si="3"/>
        <v>18860.78005443911</v>
      </c>
      <c r="L15" s="159">
        <v>5</v>
      </c>
      <c r="M15" s="23">
        <f t="shared" si="4"/>
        <v>214303.90027219555</v>
      </c>
    </row>
    <row r="16" spans="1:20" x14ac:dyDescent="0.25">
      <c r="A16" s="4">
        <v>0.25</v>
      </c>
      <c r="B16" s="4">
        <v>0.66343808388767789</v>
      </c>
      <c r="C16" s="4">
        <f t="shared" si="0"/>
        <v>0.83171904194383894</v>
      </c>
      <c r="D16" s="4">
        <f t="shared" si="1"/>
        <v>0.91585952097191947</v>
      </c>
      <c r="F16" s="159">
        <v>6</v>
      </c>
      <c r="G16" s="23">
        <f t="shared" si="2"/>
        <v>1592.2514013304269</v>
      </c>
      <c r="I16" s="159">
        <v>6</v>
      </c>
      <c r="J16" s="24">
        <f t="shared" si="3"/>
        <v>19961.257006652133</v>
      </c>
      <c r="L16" s="159">
        <v>6</v>
      </c>
      <c r="M16" s="23">
        <f t="shared" si="4"/>
        <v>219806.28503326068</v>
      </c>
    </row>
    <row r="17" spans="1:13" x14ac:dyDescent="0.25">
      <c r="A17" s="4">
        <v>0.29166666699999999</v>
      </c>
      <c r="B17" s="4">
        <v>0.80489581033830182</v>
      </c>
      <c r="C17" s="4">
        <f t="shared" si="0"/>
        <v>0.90244790516915097</v>
      </c>
      <c r="D17" s="4">
        <f t="shared" si="1"/>
        <v>0.95122395258457548</v>
      </c>
      <c r="F17" s="159">
        <v>7</v>
      </c>
      <c r="G17" s="23">
        <f t="shared" si="2"/>
        <v>1931.7499448119245</v>
      </c>
      <c r="I17" s="159">
        <v>7</v>
      </c>
      <c r="J17" s="24">
        <f t="shared" si="3"/>
        <v>21658.749724059624</v>
      </c>
      <c r="L17" s="159">
        <v>7</v>
      </c>
      <c r="M17" s="23">
        <f t="shared" si="4"/>
        <v>228293.74862029811</v>
      </c>
    </row>
    <row r="18" spans="1:13" x14ac:dyDescent="0.25">
      <c r="A18" s="4">
        <v>0.33333333300000001</v>
      </c>
      <c r="B18" s="4">
        <v>0.97046447723580986</v>
      </c>
      <c r="C18" s="4">
        <f t="shared" si="0"/>
        <v>0.98523223861790488</v>
      </c>
      <c r="D18" s="4">
        <f t="shared" si="1"/>
        <v>0.99261611930895244</v>
      </c>
      <c r="F18" s="159">
        <v>8</v>
      </c>
      <c r="G18" s="23">
        <f t="shared" si="2"/>
        <v>2329.1147453659437</v>
      </c>
      <c r="I18" s="159">
        <v>8</v>
      </c>
      <c r="J18" s="24">
        <f t="shared" si="3"/>
        <v>23645.573726829716</v>
      </c>
      <c r="L18" s="159">
        <v>8</v>
      </c>
      <c r="M18" s="23">
        <f t="shared" si="4"/>
        <v>238227.86863414859</v>
      </c>
    </row>
    <row r="19" spans="1:13" x14ac:dyDescent="0.25">
      <c r="A19" s="4">
        <v>0.375</v>
      </c>
      <c r="B19" s="4">
        <v>1.129962743485216</v>
      </c>
      <c r="C19" s="4">
        <f t="shared" si="0"/>
        <v>1.064981371742608</v>
      </c>
      <c r="D19" s="4">
        <f t="shared" si="1"/>
        <v>1.0324906858713039</v>
      </c>
      <c r="F19" s="159">
        <v>9</v>
      </c>
      <c r="G19" s="23">
        <f t="shared" si="2"/>
        <v>2711.9105843645184</v>
      </c>
      <c r="I19" s="159">
        <v>9</v>
      </c>
      <c r="J19" s="24">
        <f t="shared" si="3"/>
        <v>25559.552921822593</v>
      </c>
      <c r="L19" s="159">
        <v>9</v>
      </c>
      <c r="M19" s="23">
        <f t="shared" si="4"/>
        <v>247797.76460911293</v>
      </c>
    </row>
    <row r="20" spans="1:13" x14ac:dyDescent="0.25">
      <c r="A20" s="4">
        <v>0.41666666699999999</v>
      </c>
      <c r="B20" s="4">
        <v>1.255788842063815</v>
      </c>
      <c r="C20" s="4">
        <f t="shared" si="0"/>
        <v>1.1278944210319075</v>
      </c>
      <c r="D20" s="4">
        <f t="shared" si="1"/>
        <v>1.0639472105159538</v>
      </c>
      <c r="F20" s="159">
        <v>10</v>
      </c>
      <c r="G20" s="23">
        <f t="shared" si="2"/>
        <v>3013.8932209531558</v>
      </c>
      <c r="I20" s="159">
        <v>10</v>
      </c>
      <c r="J20" s="24">
        <f t="shared" si="3"/>
        <v>27069.466104765779</v>
      </c>
      <c r="L20" s="159">
        <v>10</v>
      </c>
      <c r="M20" s="23">
        <f t="shared" si="4"/>
        <v>255347.33052382889</v>
      </c>
    </row>
    <row r="21" spans="1:13" x14ac:dyDescent="0.25">
      <c r="A21" s="4">
        <v>0.45833333300000001</v>
      </c>
      <c r="B21" s="4">
        <v>1.3292849806740759</v>
      </c>
      <c r="C21" s="4">
        <f t="shared" si="0"/>
        <v>1.1646424903370378</v>
      </c>
      <c r="D21" s="4">
        <f t="shared" si="1"/>
        <v>1.0823212451685189</v>
      </c>
      <c r="F21" s="159">
        <v>11</v>
      </c>
      <c r="G21" s="23">
        <f t="shared" si="2"/>
        <v>3190.2839536177821</v>
      </c>
      <c r="I21" s="159">
        <v>11</v>
      </c>
      <c r="J21" s="24">
        <f t="shared" si="3"/>
        <v>27951.419768088908</v>
      </c>
      <c r="L21" s="159">
        <v>11</v>
      </c>
      <c r="M21" s="23">
        <f t="shared" si="4"/>
        <v>259757.09884044455</v>
      </c>
    </row>
    <row r="22" spans="1:13" x14ac:dyDescent="0.25">
      <c r="A22" s="4">
        <v>0.5</v>
      </c>
      <c r="B22" s="4">
        <v>1.3447105581983232</v>
      </c>
      <c r="C22" s="4">
        <f t="shared" si="0"/>
        <v>1.1723552790991616</v>
      </c>
      <c r="D22" s="4">
        <f t="shared" si="1"/>
        <v>1.0861776395495808</v>
      </c>
      <c r="F22" s="159">
        <v>12</v>
      </c>
      <c r="G22" s="23">
        <f t="shared" si="2"/>
        <v>3227.3053396759756</v>
      </c>
      <c r="I22" s="159">
        <v>12</v>
      </c>
      <c r="J22" s="24">
        <f t="shared" si="3"/>
        <v>28136.526698379879</v>
      </c>
      <c r="L22" s="159">
        <v>12</v>
      </c>
      <c r="M22" s="23">
        <f t="shared" si="4"/>
        <v>260682.63349189938</v>
      </c>
    </row>
    <row r="23" spans="1:13" x14ac:dyDescent="0.25">
      <c r="A23" s="4">
        <v>0.54166666699999999</v>
      </c>
      <c r="B23" s="4">
        <v>1.309829505464472</v>
      </c>
      <c r="C23" s="4">
        <f t="shared" si="0"/>
        <v>1.1549147527322359</v>
      </c>
      <c r="D23" s="4">
        <f t="shared" si="1"/>
        <v>1.0774573763661179</v>
      </c>
      <c r="F23" s="159">
        <v>13</v>
      </c>
      <c r="G23" s="23">
        <f t="shared" si="2"/>
        <v>3143.5908131147326</v>
      </c>
      <c r="I23" s="159">
        <v>13</v>
      </c>
      <c r="J23" s="24">
        <f t="shared" si="3"/>
        <v>27717.95406557366</v>
      </c>
      <c r="L23" s="159">
        <v>13</v>
      </c>
      <c r="M23" s="23">
        <f t="shared" si="4"/>
        <v>258589.77032786832</v>
      </c>
    </row>
    <row r="24" spans="1:13" x14ac:dyDescent="0.25">
      <c r="A24" s="4">
        <v>0.58333333300000001</v>
      </c>
      <c r="B24" s="4">
        <v>1.2430191716043275</v>
      </c>
      <c r="C24" s="4">
        <f t="shared" si="0"/>
        <v>1.1215095858021638</v>
      </c>
      <c r="D24" s="4">
        <f t="shared" si="1"/>
        <v>1.0607547929010819</v>
      </c>
      <c r="F24" s="159">
        <v>14</v>
      </c>
      <c r="G24" s="23">
        <f t="shared" si="2"/>
        <v>2983.2460118503859</v>
      </c>
      <c r="I24" s="159">
        <v>14</v>
      </c>
      <c r="J24" s="24">
        <f t="shared" si="3"/>
        <v>26916.230059251931</v>
      </c>
      <c r="L24" s="159">
        <v>14</v>
      </c>
      <c r="M24" s="23">
        <f t="shared" si="4"/>
        <v>254581.15029625964</v>
      </c>
    </row>
    <row r="25" spans="1:13" x14ac:dyDescent="0.25">
      <c r="A25" s="4">
        <v>0.625</v>
      </c>
      <c r="B25" s="4">
        <v>1.1677306805222387</v>
      </c>
      <c r="C25" s="4">
        <f t="shared" si="0"/>
        <v>1.0838653402611194</v>
      </c>
      <c r="D25" s="4">
        <f t="shared" si="1"/>
        <v>1.0419326701305596</v>
      </c>
      <c r="F25" s="159">
        <v>15</v>
      </c>
      <c r="G25" s="23">
        <f t="shared" si="2"/>
        <v>2802.5536332533729</v>
      </c>
      <c r="I25" s="159">
        <v>15</v>
      </c>
      <c r="J25" s="24">
        <f t="shared" si="3"/>
        <v>26012.768166266866</v>
      </c>
      <c r="L25" s="159">
        <v>15</v>
      </c>
      <c r="M25" s="23">
        <f t="shared" si="4"/>
        <v>250063.8408313343</v>
      </c>
    </row>
    <row r="26" spans="1:13" x14ac:dyDescent="0.25">
      <c r="A26" s="4">
        <v>0.66666666699999999</v>
      </c>
      <c r="B26" s="4">
        <v>1.105827042226494</v>
      </c>
      <c r="C26" s="4">
        <f t="shared" si="0"/>
        <v>1.052913521113247</v>
      </c>
      <c r="D26" s="4">
        <f t="shared" si="1"/>
        <v>1.0264567605566235</v>
      </c>
      <c r="F26" s="159">
        <v>16</v>
      </c>
      <c r="G26" s="23">
        <f t="shared" si="2"/>
        <v>2653.9849013435855</v>
      </c>
      <c r="I26" s="159">
        <v>16</v>
      </c>
      <c r="J26" s="24">
        <f t="shared" si="3"/>
        <v>25269.924506717929</v>
      </c>
      <c r="L26" s="159">
        <v>16</v>
      </c>
      <c r="M26" s="23">
        <f t="shared" si="4"/>
        <v>246349.62253358963</v>
      </c>
    </row>
    <row r="27" spans="1:13" x14ac:dyDescent="0.25">
      <c r="A27" s="4">
        <v>0.70833333300000001</v>
      </c>
      <c r="B27" s="4">
        <v>1.0716098389832069</v>
      </c>
      <c r="C27" s="4">
        <f t="shared" si="0"/>
        <v>1.0358049194916035</v>
      </c>
      <c r="D27" s="4">
        <f t="shared" si="1"/>
        <v>1.0179024597458017</v>
      </c>
      <c r="F27" s="159">
        <v>17</v>
      </c>
      <c r="G27" s="23">
        <f t="shared" si="2"/>
        <v>2571.8636135596967</v>
      </c>
      <c r="I27" s="159">
        <v>17</v>
      </c>
      <c r="J27" s="24">
        <f t="shared" si="3"/>
        <v>24859.318067798482</v>
      </c>
      <c r="L27" s="159">
        <v>17</v>
      </c>
      <c r="M27" s="23">
        <f t="shared" si="4"/>
        <v>244296.59033899242</v>
      </c>
    </row>
    <row r="28" spans="1:13" x14ac:dyDescent="0.25">
      <c r="A28" s="4">
        <v>0.75</v>
      </c>
      <c r="B28" s="4">
        <v>1.0681428773763031</v>
      </c>
      <c r="C28" s="4">
        <f t="shared" si="0"/>
        <v>1.0340714386881515</v>
      </c>
      <c r="D28" s="4">
        <f t="shared" si="1"/>
        <v>1.0170357193440758</v>
      </c>
      <c r="F28" s="159">
        <v>18</v>
      </c>
      <c r="G28" s="23">
        <f t="shared" si="2"/>
        <v>2563.5429057031274</v>
      </c>
      <c r="I28" s="159">
        <v>18</v>
      </c>
      <c r="J28" s="24">
        <f t="shared" si="3"/>
        <v>24817.714528515637</v>
      </c>
      <c r="L28" s="159">
        <v>18</v>
      </c>
      <c r="M28" s="23">
        <f t="shared" si="4"/>
        <v>244088.57264257819</v>
      </c>
    </row>
    <row r="29" spans="1:13" x14ac:dyDescent="0.25">
      <c r="A29" s="4">
        <v>0.79166666699999999</v>
      </c>
      <c r="B29" s="4">
        <v>1.0868472666656483</v>
      </c>
      <c r="C29" s="4">
        <f t="shared" si="0"/>
        <v>1.0434236333328242</v>
      </c>
      <c r="D29" s="4">
        <f t="shared" si="1"/>
        <v>1.0217118166664121</v>
      </c>
      <c r="F29" s="159">
        <v>19</v>
      </c>
      <c r="G29" s="23">
        <f t="shared" si="2"/>
        <v>2608.433439997556</v>
      </c>
      <c r="I29" s="159">
        <v>19</v>
      </c>
      <c r="J29" s="24">
        <f t="shared" si="3"/>
        <v>25042.16719998778</v>
      </c>
      <c r="L29" s="159">
        <v>19</v>
      </c>
      <c r="M29" s="23">
        <f t="shared" si="4"/>
        <v>245210.83599993889</v>
      </c>
    </row>
    <row r="30" spans="1:13" x14ac:dyDescent="0.25">
      <c r="A30" s="4">
        <v>0.83333333300000001</v>
      </c>
      <c r="B30" s="4">
        <v>1.11044807059998</v>
      </c>
      <c r="C30" s="4">
        <f t="shared" si="0"/>
        <v>1.05522403529999</v>
      </c>
      <c r="D30" s="4">
        <f t="shared" si="1"/>
        <v>1.027612017649995</v>
      </c>
      <c r="F30" s="159">
        <v>20</v>
      </c>
      <c r="G30" s="23">
        <f t="shared" si="2"/>
        <v>2665.0753694399518</v>
      </c>
      <c r="I30" s="159">
        <v>20</v>
      </c>
      <c r="J30" s="24">
        <f t="shared" si="3"/>
        <v>25325.376847199761</v>
      </c>
      <c r="L30" s="159">
        <v>20</v>
      </c>
      <c r="M30" s="23">
        <f t="shared" si="4"/>
        <v>246626.88423599879</v>
      </c>
    </row>
    <row r="31" spans="1:13" x14ac:dyDescent="0.25">
      <c r="A31" s="4">
        <v>0.875</v>
      </c>
      <c r="B31" s="4">
        <v>1.1184388233322677</v>
      </c>
      <c r="C31" s="4">
        <f t="shared" si="0"/>
        <v>1.0592194116661338</v>
      </c>
      <c r="D31" s="4">
        <f t="shared" si="1"/>
        <v>1.0296097058330669</v>
      </c>
      <c r="F31" s="159">
        <v>21</v>
      </c>
      <c r="G31" s="23">
        <f t="shared" si="2"/>
        <v>2684.2531759974427</v>
      </c>
      <c r="I31" s="159">
        <v>21</v>
      </c>
      <c r="J31" s="24">
        <f t="shared" si="3"/>
        <v>25421.265879987212</v>
      </c>
      <c r="L31" s="159">
        <v>21</v>
      </c>
      <c r="M31" s="23">
        <f t="shared" si="4"/>
        <v>247106.32939993605</v>
      </c>
    </row>
    <row r="32" spans="1:13" x14ac:dyDescent="0.25">
      <c r="A32" s="4">
        <v>0.91666666699999999</v>
      </c>
      <c r="B32" s="4">
        <v>1.0935427445079926</v>
      </c>
      <c r="C32" s="4">
        <f t="shared" si="0"/>
        <v>1.0467713722539962</v>
      </c>
      <c r="D32" s="4">
        <f t="shared" si="1"/>
        <v>1.0233856861269981</v>
      </c>
      <c r="F32" s="159">
        <v>22</v>
      </c>
      <c r="G32" s="23">
        <f t="shared" si="2"/>
        <v>2624.5025868191824</v>
      </c>
      <c r="I32" s="159">
        <v>22</v>
      </c>
      <c r="J32" s="24">
        <f t="shared" si="3"/>
        <v>25122.51293409591</v>
      </c>
      <c r="L32" s="159">
        <v>22</v>
      </c>
      <c r="M32" s="23">
        <f t="shared" si="4"/>
        <v>245612.56467047954</v>
      </c>
    </row>
    <row r="33" spans="1:13" x14ac:dyDescent="0.25">
      <c r="A33" s="4">
        <v>0.95833333300000001</v>
      </c>
      <c r="B33" s="4">
        <v>1.0273735091394558</v>
      </c>
      <c r="C33" s="4">
        <f t="shared" si="0"/>
        <v>1.0136867545697279</v>
      </c>
      <c r="D33" s="4">
        <f t="shared" si="1"/>
        <v>1.0068433772848639</v>
      </c>
      <c r="F33" s="159">
        <v>23</v>
      </c>
      <c r="G33" s="23">
        <f t="shared" si="2"/>
        <v>2465.6964219346937</v>
      </c>
      <c r="I33" s="159">
        <v>23</v>
      </c>
      <c r="J33" s="24">
        <f t="shared" si="3"/>
        <v>24328.48210967347</v>
      </c>
      <c r="L33" s="159">
        <v>23</v>
      </c>
      <c r="M33" s="23">
        <f t="shared" si="4"/>
        <v>241642.41054836733</v>
      </c>
    </row>
  </sheetData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K23"/>
  <sheetViews>
    <sheetView showGridLines="0" showRowColHeaders="0" workbookViewId="0"/>
  </sheetViews>
  <sheetFormatPr baseColWidth="10" defaultColWidth="9.140625" defaultRowHeight="15" x14ac:dyDescent="0.25"/>
  <cols>
    <col min="1" max="1" width="3.7109375" customWidth="1"/>
    <col min="2" max="2" width="26.42578125" customWidth="1"/>
    <col min="3" max="3" width="14.7109375" customWidth="1"/>
    <col min="5" max="5" width="11.85546875" bestFit="1" customWidth="1"/>
    <col min="6" max="6" width="20" customWidth="1"/>
    <col min="7" max="7" width="7.140625" customWidth="1"/>
    <col min="8" max="8" width="39.5703125" customWidth="1"/>
    <col min="9" max="9" width="8.28515625" customWidth="1"/>
    <col min="10" max="10" width="8.5703125" customWidth="1"/>
    <col min="11" max="11" width="21.140625" customWidth="1"/>
  </cols>
  <sheetData>
    <row r="1" spans="2:11" ht="15.75" thickBot="1" x14ac:dyDescent="0.3"/>
    <row r="2" spans="2:11" ht="18.75" customHeight="1" thickBot="1" x14ac:dyDescent="0.3">
      <c r="B2" s="296" t="s">
        <v>107</v>
      </c>
      <c r="C2" s="303" t="s">
        <v>1</v>
      </c>
      <c r="D2" s="303" t="s">
        <v>81</v>
      </c>
      <c r="E2" s="303" t="s">
        <v>105</v>
      </c>
      <c r="F2" s="288" t="s">
        <v>106</v>
      </c>
      <c r="H2" s="281" t="s">
        <v>332</v>
      </c>
      <c r="I2" s="282"/>
      <c r="J2" s="282"/>
      <c r="K2" s="283"/>
    </row>
    <row r="3" spans="2:11" ht="18.75" customHeight="1" thickBot="1" x14ac:dyDescent="0.3">
      <c r="B3" s="299" t="s">
        <v>80</v>
      </c>
      <c r="C3" s="300" t="s">
        <v>71</v>
      </c>
      <c r="D3" s="301">
        <f>E3+Balances!C7+Balances!C11+Balances!C12+SUM(Balances!C17:C25)</f>
        <v>322.09999999999997</v>
      </c>
      <c r="E3" s="301">
        <f>F3+Balances!C6</f>
        <v>133</v>
      </c>
      <c r="F3" s="302">
        <f>Balances!C3+Balances!C4+Balances!C5+Balances!C16</f>
        <v>65</v>
      </c>
      <c r="H3" s="307" t="s">
        <v>0</v>
      </c>
      <c r="I3" s="54" t="s">
        <v>81</v>
      </c>
      <c r="J3" s="54" t="s">
        <v>105</v>
      </c>
      <c r="K3" s="55" t="s">
        <v>106</v>
      </c>
    </row>
    <row r="4" spans="2:11" ht="18.75" customHeight="1" x14ac:dyDescent="0.25">
      <c r="B4" s="45" t="s">
        <v>151</v>
      </c>
      <c r="C4" s="51" t="s">
        <v>195</v>
      </c>
      <c r="D4" s="46">
        <f>D3*'Check fractions'!$D$28</f>
        <v>305.99499999999995</v>
      </c>
      <c r="E4" s="46">
        <f>E3*'Check fractions'!$D$28</f>
        <v>126.35</v>
      </c>
      <c r="F4" s="47">
        <f>F3*'Check fractions'!$D$28</f>
        <v>61.75</v>
      </c>
      <c r="H4" s="304" t="s">
        <v>2</v>
      </c>
      <c r="I4" s="305" t="s">
        <v>90</v>
      </c>
      <c r="J4" s="305" t="s">
        <v>90</v>
      </c>
      <c r="K4" s="306" t="s">
        <v>90</v>
      </c>
    </row>
    <row r="5" spans="2:11" ht="18.75" customHeight="1" thickBot="1" x14ac:dyDescent="0.3">
      <c r="B5" s="48" t="s">
        <v>152</v>
      </c>
      <c r="C5" s="52" t="s">
        <v>195</v>
      </c>
      <c r="D5" s="49">
        <f>(D4-E4)*'Check fractions'!D31+E5</f>
        <v>184.15749999999997</v>
      </c>
      <c r="E5" s="49">
        <f>(E4-F4)*'Check fractions'!D30+F5</f>
        <v>94.335000000000008</v>
      </c>
      <c r="F5" s="50">
        <f>F4*'Check fractions'!D29</f>
        <v>55.575000000000003</v>
      </c>
      <c r="H5" s="42" t="s">
        <v>3</v>
      </c>
      <c r="I5" s="25" t="s">
        <v>91</v>
      </c>
      <c r="J5" s="25" t="s">
        <v>91</v>
      </c>
      <c r="K5" s="53" t="s">
        <v>91</v>
      </c>
    </row>
    <row r="6" spans="2:11" ht="18.75" customHeight="1" x14ac:dyDescent="0.25">
      <c r="H6" s="42" t="s">
        <v>4</v>
      </c>
      <c r="I6" s="25" t="s">
        <v>92</v>
      </c>
      <c r="J6" s="25" t="s">
        <v>92</v>
      </c>
      <c r="K6" s="53" t="s">
        <v>92</v>
      </c>
    </row>
    <row r="7" spans="2:11" ht="18.75" customHeight="1" thickBot="1" x14ac:dyDescent="0.3">
      <c r="H7" s="268" t="s">
        <v>5</v>
      </c>
      <c r="I7" s="25" t="s">
        <v>93</v>
      </c>
      <c r="J7" s="25" t="s">
        <v>93</v>
      </c>
      <c r="K7" s="53"/>
    </row>
    <row r="8" spans="2:11" ht="18.75" thickBot="1" x14ac:dyDescent="0.3">
      <c r="B8" s="296" t="s">
        <v>116</v>
      </c>
      <c r="C8" s="297" t="s">
        <v>120</v>
      </c>
      <c r="D8" s="297" t="s">
        <v>173</v>
      </c>
      <c r="E8" s="298" t="s">
        <v>119</v>
      </c>
      <c r="H8" s="42" t="s">
        <v>6</v>
      </c>
      <c r="I8" s="25" t="s">
        <v>94</v>
      </c>
      <c r="J8" s="25"/>
      <c r="K8" s="53"/>
    </row>
    <row r="9" spans="2:11" ht="18" x14ac:dyDescent="0.25">
      <c r="B9" s="277" t="s">
        <v>40</v>
      </c>
      <c r="C9" s="293">
        <v>0.05</v>
      </c>
      <c r="D9" s="294"/>
      <c r="E9" s="295">
        <v>0.15</v>
      </c>
      <c r="H9" s="42" t="s">
        <v>7</v>
      </c>
      <c r="I9" s="25" t="s">
        <v>95</v>
      </c>
      <c r="J9" s="25" t="s">
        <v>95</v>
      </c>
      <c r="K9" s="53" t="s">
        <v>95</v>
      </c>
    </row>
    <row r="10" spans="2:11" ht="18" x14ac:dyDescent="0.25">
      <c r="B10" s="284" t="s">
        <v>117</v>
      </c>
      <c r="C10" s="289">
        <v>0.1</v>
      </c>
      <c r="D10" s="286"/>
      <c r="E10" s="291">
        <v>0.25</v>
      </c>
      <c r="H10" s="42" t="s">
        <v>8</v>
      </c>
      <c r="I10" s="25" t="s">
        <v>96</v>
      </c>
      <c r="J10" s="25" t="s">
        <v>96</v>
      </c>
      <c r="K10" s="53"/>
    </row>
    <row r="11" spans="2:11" ht="18.75" thickBot="1" x14ac:dyDescent="0.3">
      <c r="B11" s="285" t="s">
        <v>118</v>
      </c>
      <c r="C11" s="290">
        <v>0.05</v>
      </c>
      <c r="D11" s="287"/>
      <c r="E11" s="292">
        <v>0.15</v>
      </c>
      <c r="H11" s="42" t="s">
        <v>9</v>
      </c>
      <c r="I11" s="25" t="s">
        <v>97</v>
      </c>
      <c r="J11" s="25"/>
      <c r="K11" s="53"/>
    </row>
    <row r="12" spans="2:11" ht="18" x14ac:dyDescent="0.25">
      <c r="H12" s="42" t="s">
        <v>10</v>
      </c>
      <c r="I12" s="25" t="s">
        <v>98</v>
      </c>
      <c r="J12" s="25"/>
      <c r="K12" s="53"/>
    </row>
    <row r="13" spans="2:11" ht="18" x14ac:dyDescent="0.25">
      <c r="H13" s="268" t="s">
        <v>299</v>
      </c>
      <c r="I13" s="25" t="s">
        <v>300</v>
      </c>
      <c r="J13" s="25"/>
      <c r="K13" s="53"/>
    </row>
    <row r="14" spans="2:11" ht="18" x14ac:dyDescent="0.25">
      <c r="H14" s="42" t="s">
        <v>100</v>
      </c>
      <c r="I14" s="25" t="s">
        <v>99</v>
      </c>
      <c r="J14" s="25"/>
      <c r="K14" s="53"/>
    </row>
    <row r="15" spans="2:11" ht="18" x14ac:dyDescent="0.25">
      <c r="H15" s="268" t="s">
        <v>273</v>
      </c>
      <c r="I15" s="25" t="s">
        <v>301</v>
      </c>
      <c r="J15" s="25"/>
      <c r="K15" s="53"/>
    </row>
    <row r="16" spans="2:11" ht="18" x14ac:dyDescent="0.25">
      <c r="H16" s="321" t="s">
        <v>312</v>
      </c>
      <c r="I16" s="25" t="s">
        <v>101</v>
      </c>
      <c r="J16" s="25"/>
      <c r="K16" s="53"/>
    </row>
    <row r="17" spans="6:11" ht="18" x14ac:dyDescent="0.25">
      <c r="H17" s="276" t="s">
        <v>329</v>
      </c>
      <c r="I17" s="25" t="s">
        <v>331</v>
      </c>
      <c r="J17" s="25"/>
      <c r="K17" s="53"/>
    </row>
    <row r="18" spans="6:11" ht="18" x14ac:dyDescent="0.25">
      <c r="H18" s="319" t="s">
        <v>274</v>
      </c>
      <c r="I18" s="25" t="s">
        <v>102</v>
      </c>
      <c r="J18" s="25"/>
      <c r="K18" s="53"/>
    </row>
    <row r="19" spans="6:11" ht="18" x14ac:dyDescent="0.25">
      <c r="H19" s="319" t="s">
        <v>306</v>
      </c>
      <c r="I19" s="320" t="s">
        <v>309</v>
      </c>
      <c r="J19" s="320"/>
      <c r="K19" s="322"/>
    </row>
    <row r="20" spans="6:11" ht="18" x14ac:dyDescent="0.25">
      <c r="F20" s="196"/>
      <c r="H20" s="319" t="s">
        <v>307</v>
      </c>
      <c r="I20" s="320" t="s">
        <v>310</v>
      </c>
      <c r="J20" s="320"/>
      <c r="K20" s="322"/>
    </row>
    <row r="21" spans="6:11" ht="18" x14ac:dyDescent="0.25">
      <c r="F21" s="197"/>
      <c r="H21" s="319" t="s">
        <v>308</v>
      </c>
      <c r="I21" s="320" t="s">
        <v>311</v>
      </c>
      <c r="J21" s="320"/>
      <c r="K21" s="322"/>
    </row>
    <row r="22" spans="6:11" ht="18" x14ac:dyDescent="0.25">
      <c r="F22" s="197"/>
      <c r="H22" s="42" t="s">
        <v>275</v>
      </c>
      <c r="I22" s="25" t="s">
        <v>103</v>
      </c>
      <c r="J22" s="25"/>
      <c r="K22" s="53"/>
    </row>
    <row r="23" spans="6:11" ht="18.75" thickBot="1" x14ac:dyDescent="0.3">
      <c r="H23" s="39" t="s">
        <v>276</v>
      </c>
      <c r="I23" s="54" t="s">
        <v>104</v>
      </c>
      <c r="J23" s="54"/>
      <c r="K23" s="55"/>
    </row>
  </sheetData>
  <sheetProtection selectLockedCells="1"/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B188B0CA-5931-4E28-95BE-DD3E802EAF87}">
            <xm:f>NOT(ISERROR(SEARCH($E$8,D8)))</xm:f>
            <xm:f>$E$8</xm:f>
            <x14:dxf>
              <fill>
                <patternFill>
                  <bgColor rgb="FFFF3300"/>
                </patternFill>
              </fill>
            </x14:dxf>
          </x14:cfRule>
          <x14:cfRule type="containsText" priority="2" operator="containsText" id="{DB301110-77F5-42B8-B9EE-03E42A600247}">
            <xm:f>NOT(ISERROR(SEARCH($D$8,D8)))</xm:f>
            <xm:f>$D$8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" operator="containsText" id="{4640F1BC-6BA0-4DEC-8FA3-E227FB9F282B}">
            <xm:f>NOT(ISERROR(SEARCH($C$8,D8)))</xm:f>
            <xm:f>$C$8</xm:f>
            <x14:dxf>
              <fill>
                <patternFill>
                  <bgColor theme="9" tint="0.39994506668294322"/>
                </patternFill>
              </fill>
            </x14:dxf>
          </x14:cfRule>
          <xm:sqref>D8:E8</xm:sqref>
        </x14:conditionalFormatting>
        <x14:conditionalFormatting xmlns:xm="http://schemas.microsoft.com/office/excel/2006/main">
          <x14:cfRule type="containsText" priority="4" operator="containsText" id="{026926E8-3529-45F2-A25B-0FC3AFD6029E}">
            <xm:f>NOT(ISERROR(SEARCH($E$8,C8)))</xm:f>
            <xm:f>$E$8</xm:f>
            <x14:dxf>
              <fill>
                <patternFill>
                  <bgColor rgb="FFFF3300"/>
                </patternFill>
              </fill>
            </x14:dxf>
          </x14:cfRule>
          <x14:cfRule type="containsText" priority="5" operator="containsText" id="{AA047A29-9D2E-4C9C-A48D-82FE23C682DF}">
            <xm:f>NOT(ISERROR(SEARCH($D$8,C8)))</xm:f>
            <xm:f>$D$8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" operator="containsText" id="{4B44506A-2BED-463D-B50D-AF6BFEF12AFC}">
            <xm:f>NOT(ISERROR(SEARCH($C$8,C8)))</xm:f>
            <xm:f>$C$8</xm:f>
            <x14:dxf>
              <fill>
                <patternFill>
                  <bgColor theme="9" tint="0.39994506668294322"/>
                </patternFill>
              </fill>
            </x14:dxf>
          </x14:cfRule>
          <xm:sqref>C8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13</vt:i4>
      </vt:variant>
    </vt:vector>
  </HeadingPairs>
  <TitlesOfParts>
    <vt:vector size="21" baseType="lpstr">
      <vt:lpstr>Help</vt:lpstr>
      <vt:lpstr>Data</vt:lpstr>
      <vt:lpstr>Check fractions</vt:lpstr>
      <vt:lpstr>Sumo forms</vt:lpstr>
      <vt:lpstr>Fractionation tree</vt:lpstr>
      <vt:lpstr>Balances</vt:lpstr>
      <vt:lpstr>Diurnal flow</vt:lpstr>
      <vt:lpstr>Calculations</vt:lpstr>
      <vt:lpstr>A_SFHAO_H</vt:lpstr>
      <vt:lpstr>A_SFHAO_L</vt:lpstr>
      <vt:lpstr>A_SFHFO_H</vt:lpstr>
      <vt:lpstr>A_SFHFO_L</vt:lpstr>
      <vt:lpstr>AM_Al</vt:lpstr>
      <vt:lpstr>AM_Fe</vt:lpstr>
      <vt:lpstr>AM_P</vt:lpstr>
      <vt:lpstr>f_H2O_HAO_TSS</vt:lpstr>
      <vt:lpstr>f_H2O_HFO_TSS</vt:lpstr>
      <vt:lpstr>i_TSS_PP</vt:lpstr>
      <vt:lpstr>MM_HAO</vt:lpstr>
      <vt:lpstr>MM_HFO</vt:lpstr>
      <vt:lpstr>MM_PO4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Imre Takacs</dc:creator>
  <cp:lastModifiedBy>Helene Hauduc</cp:lastModifiedBy>
  <dcterms:created xsi:type="dcterms:W3CDTF">2014-09-09T20:53:53Z</dcterms:created>
  <dcterms:modified xsi:type="dcterms:W3CDTF">2022-07-27T09:32:56Z</dcterms:modified>
</cp:coreProperties>
</file>